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7" firstSheet="0" activeTab="0"/>
  </bookViews>
  <sheets>
    <sheet name="Events" sheetId="1" state="visible" r:id="rId2"/>
  </sheets>
  <definedNames>
    <definedName function="false" hidden="false" localSheetId="0" name="_xlnm.Print_Area" vbProcedure="false">Events!$A$1:$D$52</definedName>
    <definedName function="false" hidden="false" localSheetId="0" name="_xlnm.Print_Area" vbProcedure="false">Events!$A$1:$D$52</definedName>
    <definedName function="false" hidden="false" localSheetId="0" name="_xlnm.Print_Area_0" vbProcedure="false">Events!$A$1:$D$52</definedName>
    <definedName function="false" hidden="false" localSheetId="0" name="_xlnm_Print_Area" vbProcedure="false">Events!$A$1:$D$52</definedName>
    <definedName function="false" hidden="false" localSheetId="0" name="_xlnm_Print_Area_0" vbProcedure="false">Events!$A$1:$D$52</definedName>
    <definedName function="false" hidden="false" localSheetId="0" name="_xlnm_Print_Area_0_0" vbProcedure="false">Events!$A$1:$D$52</definedName>
    <definedName function="false" hidden="false" localSheetId="0" name="_xlnm_Print_Area_0_0_0" vbProcedure="false">Events!$A$1:$D$52</definedName>
    <definedName function="false" hidden="false" localSheetId="0" name="_xlnm_Print_Area_0_0_0_0" vbProcedure="false">Events!$A$1:$D$52</definedName>
    <definedName function="false" hidden="false" localSheetId="0" name="_xlnm_Print_Area_0_0_0_0_0" vbProcedure="false">Events!$A$1:$D$52</definedName>
    <definedName function="false" hidden="false" localSheetId="0" name="_xlnm_Print_Area_0_0_0_0_0_0" vbProcedure="false">Events!$A$1:$D$52</definedName>
    <definedName function="false" hidden="false" localSheetId="0" name="_xlnm_Print_Area_0_0_0_0_0_0_0" vbProcedure="false">Events!$A$1:$D$51</definedName>
    <definedName function="false" hidden="false" localSheetId="0" name="_xlnm_Print_Area_0_0_0_0_0_0_0_0" vbProcedure="false">Events!$A$1:$D$51</definedName>
    <definedName function="false" hidden="false" localSheetId="0" name="_xlnm_Print_Area_0_0_0_0_0_0_0_0_0" vbProcedure="false">Events!$A$1:$D$51</definedName>
    <definedName function="false" hidden="false" localSheetId="0" name="_xlnm_Print_Area_0_0_0_0_0_0_0_0_0_0" vbProcedure="false">Events!$A$1:$D$51</definedName>
    <definedName function="false" hidden="false" localSheetId="0" name="_xlnm_Print_Area_0_0_0_0_0_0_0_0_0_0_0" vbProcedure="false">Events!$A$1:$D$51</definedName>
    <definedName function="false" hidden="false" localSheetId="0" name="_xlnm_Print_Area_0_0_0_0_0_0_0_0_0_0_0_0" vbProcedure="false">Events!$A$1:$D$51</definedName>
    <definedName function="false" hidden="false" localSheetId="0" name="_xlnm_Print_Area_0_0_0_0_0_0_0_0_0_0_0_0_0" vbProcedure="false">Events!$A$1:$D$51</definedName>
    <definedName function="false" hidden="false" localSheetId="0" name="_xlnm_Print_Area_0_0_0_0_0_0_0_0_0_0_0_0_0_0" vbProcedure="false">Events!$A$1:$D$51</definedName>
    <definedName function="false" hidden="false" localSheetId="0" name="_xlnm_Print_Area_0_0_0_0_0_0_0_0_0_0_0_0_0_0_0" vbProcedure="false">Events!$A$1:$D$51</definedName>
    <definedName function="false" hidden="false" localSheetId="0" name="_xlnm_Print_Area_0_0_0_0_0_0_0_0_0_0_0_0_0_0_0_0" vbProcedure="false">Events!$A$1:$D$51</definedName>
    <definedName function="false" hidden="false" localSheetId="0" name="_xlnm_Print_Area_0_0_0_0_0_0_0_0_0_0_0_0_0_0_0_0_0" vbProcedure="false">Events!$A$1:$D$51</definedName>
    <definedName function="false" hidden="false" localSheetId="0" name="_xlnm_Print_Area_0_0_0_0_0_0_0_0_0_0_0_0_0_0_0_0_0_0" vbProcedure="false">Events!$A$1:$D$51</definedName>
    <definedName function="false" hidden="false" localSheetId="0" name="_xlnm_Print_Area_0_0_0_0_0_0_0_0_0_0_0_0_0_0_0_0_0_0_0" vbProcedure="false">Events!$A$1:$D$51</definedName>
    <definedName function="false" hidden="false" localSheetId="0" name="_xlnm_Print_Area_0_0_0_0_0_0_0_0_0_0_0_0_0_0_0_0_0_0_0_0" vbProcedure="false">Events!$A$1:$D$51</definedName>
    <definedName function="false" hidden="false" localSheetId="0" name="_xlnm_Print_Area_0_0_0_0_0_0_0_0_0_0_0_0_0_0_0_0_0_0_0_0_0" vbProcedure="false">Events!$A$1:$D$51</definedName>
    <definedName function="false" hidden="false" localSheetId="0" name="_xlnm_Print_Area_0_0_0_0_0_0_0_0_0_0_0_0_0_0_0_0_0_0_0_0_0_0" vbProcedure="false">Events!$A$1:$D$51</definedName>
  </definedNames>
  <calcPr iterateCount="100" refMode="A1" iterate="false" iterateDelta="0.001"/>
  <extLst>
    <ext xmlns:loext="http://schemas.libreoffice.org/" uri="{7626C862-2A13-11E5-B345-FEFF819CDC9F}">
      <loext:extCalcPr stringRefSyntax="Unspecified"/>
    </ext>
  </extLst>
</workbook>
</file>

<file path=xl/sharedStrings.xml><?xml version="1.0" encoding="utf-8"?>
<sst xmlns="http://schemas.openxmlformats.org/spreadsheetml/2006/main" count="64" uniqueCount="52">
  <si>
    <t>← enter year</t>
  </si>
  <si>
    <t>Greek Public Holidays / Festival Days / Notable Dates</t>
  </si>
  <si>
    <t>Triodion / Apokreas (karnavali) begins</t>
  </si>
  <si>
    <t>Tsiknopempti (Meatfare Thursday)</t>
  </si>
  <si>
    <t>Kyriaki tis apokreo (Meatfare Sunday)</t>
  </si>
  <si>
    <t>Tyrofagis (Cheesefare Sunday) / Karnavali culminates</t>
  </si>
  <si>
    <t>Kathara Devtera (Clean Monday)</t>
  </si>
  <si>
    <t>National Holiday</t>
  </si>
  <si>
    <t>Kyriaki ton Vaion (Palm Sunday)</t>
  </si>
  <si>
    <t>Megali Paraskevi (Great Friday)</t>
  </si>
  <si>
    <t>Kyriakí tou Páscha (Easter Sunday)</t>
  </si>
  <si>
    <t>Devtera tou Paska (Easter Monday)</t>
  </si>
  <si>
    <t>Analipsi tou Kristou (Ascension)</t>
  </si>
  <si>
    <t>Pentikosti (Pentecost)</t>
  </si>
  <si>
    <t>Agios Pnevmatos (Holy Spirit)</t>
  </si>
  <si>
    <t>Agion Panton (All Saints)</t>
  </si>
  <si>
    <t>European Daylight Saving Time starts (clocks spring forward 1 hour)</t>
  </si>
  <si>
    <t>European Daylight Saving Time ends (clocks fall back 1 hour)</t>
  </si>
  <si>
    <t>Protochroniá (New Year's Day) / Agios Basileios (Saint Vasilios)</t>
  </si>
  <si>
    <t>Theophánia (Epiphany)</t>
  </si>
  <si>
    <t>Agios Haralambos</t>
  </si>
  <si>
    <t>Lixouri celebration</t>
  </si>
  <si>
    <t>Eikostí-pémpti Martíou (Independence Day) / Annunciation</t>
  </si>
  <si>
    <t>Ergatikí Protomayiá (May Day / Labour Day) *</t>
  </si>
  <si>
    <t>'Strike Day'</t>
  </si>
  <si>
    <t>Anna Pollatou, Kefalonian gymnast, motor accident casualty 2014</t>
  </si>
  <si>
    <t>Union of Ionian Islands &amp; Greece, 1864 / Ag. Konstantinos &amp; Eleni</t>
  </si>
  <si>
    <t>Kef celebration</t>
  </si>
  <si>
    <t>Agia Efimia</t>
  </si>
  <si>
    <t>Restoration of Democracy 1974 / Eleios-Pronnoi bush fire 2007</t>
  </si>
  <si>
    <t>Metamorphosis of Christ</t>
  </si>
  <si>
    <t>Anniversary of 1953 earthquakes</t>
  </si>
  <si>
    <t>Fidakia tis Panagias (Snake festival, Markopoulo, p.m.)</t>
  </si>
  <si>
    <t>Kímisi tis Theotókou (Assumption) / Fidakia tis Panagias (a.m.)</t>
  </si>
  <si>
    <t>Agios Gerasimos (Omala, p.m.)</t>
  </si>
  <si>
    <t>Agios Gerasimos (Omala, a.m.)</t>
  </si>
  <si>
    <t>Colonel Stergios Kotoulas died fire-fighting, Katelios, 2009</t>
  </si>
  <si>
    <t>Gennesíou tis Theotókou (Holy Virgin's Birthday)</t>
  </si>
  <si>
    <t>Ypsóseos tou Timíou Stavroú (Exaltation of the Holy Cross)</t>
  </si>
  <si>
    <t>Restitution of Ag. Gerasimos' Sacred Relic</t>
  </si>
  <si>
    <t>Iméra tou Okhi (OXI Day)</t>
  </si>
  <si>
    <t>Polytechneio</t>
  </si>
  <si>
    <t>Kristoúyenna (Christmas Day)</t>
  </si>
  <si>
    <t>Sínaxis Yperagías Theotókou Marías / Agios Stefanos / Boxing Day</t>
  </si>
  <si>
    <t>Paramoní Protochroniás (New Year's Eve)</t>
  </si>
  <si>
    <t>Massacre of Acqui Division by Nazi occupiers commenced, 1943 **</t>
  </si>
  <si>
    <t>Good Friday (UK)</t>
  </si>
  <si>
    <t>Easter Sunday (UK)</t>
  </si>
  <si>
    <t>Easter Monday (UK)</t>
  </si>
  <si>
    <t>Note:</t>
  </si>
  <si>
    <t>'May Day' liable to be moved if Paska falls on / very close to 01 May</t>
  </si>
  <si>
    <t>Exact dates of Kefalonia massacre difficult to determine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</si>
</sst>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YYYY"/>
    <numFmt numFmtId="166" formatCode="DD/MM/YY"/>
    <numFmt numFmtId="167" formatCode="DDDD"/>
    <numFmt numFmtId="168" formatCode="HH:MM"/>
    <numFmt numFmtId="169" formatCode="DD/MM/YY\ HH:MM"/>
    <numFmt numFmtId="170" formatCode="DD/MM/YY;&quot;&quot;;@"/>
    <numFmt numFmtId="171" formatCode="DDDD;&quot;&quot;;@"/>
    <numFmt numFmtId="172" formatCode="&quot;TRUE&quot;;&quot;TRUE&quot;;&quot;FALSE&quot;"/>
  </numFmts>
  <fonts count="10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FF"/>
      <name val="Arial"/>
      <family val="2"/>
      <charset val="1"/>
    </font>
    <font>
      <sz val="10"/>
      <color rgb="FF999999"/>
      <name val="Arial"/>
      <family val="2"/>
      <charset val="1"/>
    </font>
    <font>
      <b val="true"/>
      <sz val="11"/>
      <color rgb="FF0000FF"/>
      <name val="Arial"/>
      <family val="2"/>
      <charset val="1"/>
    </font>
    <font>
      <sz val="10"/>
      <color rgb="FFFFFFFF"/>
      <name val="Arial"/>
      <family val="2"/>
      <charset val="1"/>
    </font>
    <font>
      <sz val="9"/>
      <color rgb="FF0000FF"/>
      <name val="Arial"/>
      <family val="2"/>
      <charset val="1"/>
    </font>
    <font>
      <sz val="10"/>
      <color rgb="FF0000FF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5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6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7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5" fontId="7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4" fontId="7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true"/>
    </xf>
    <xf numFmtId="166" fontId="0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7" fontId="0" fillId="0" borderId="0" xfId="0" applyFont="true" applyBorder="false" applyAlignment="true" applyProtection="true">
      <alignment horizontal="left" vertical="bottom" textRotation="0" wrapText="false" indent="0" shrinkToFit="false"/>
      <protection locked="true" hidden="true"/>
    </xf>
    <xf numFmtId="166" fontId="0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6" fontId="7" fillId="0" borderId="0" xfId="0" applyFont="true" applyBorder="false" applyAlignment="true" applyProtection="true">
      <alignment horizontal="center" vertical="bottom" textRotation="0" wrapText="true" indent="0" shrinkToFit="false"/>
      <protection locked="true" hidden="true"/>
    </xf>
    <xf numFmtId="168" fontId="7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9" fontId="7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6" fontId="7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4" fontId="7" fillId="0" borderId="0" xfId="0" applyFont="true" applyBorder="false" applyAlignment="true" applyProtection="true">
      <alignment horizontal="general" vertical="bottom" textRotation="0" wrapText="true" indent="0" shrinkToFit="false"/>
      <protection locked="true" hidden="true"/>
    </xf>
    <xf numFmtId="170" fontId="0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71" fontId="0" fillId="0" borderId="0" xfId="0" applyFont="true" applyBorder="false" applyAlignment="true" applyProtection="true">
      <alignment horizontal="left" vertical="bottom" textRotation="0" wrapText="false" indent="0" shrinkToFit="false"/>
      <protection locked="true" hidden="true"/>
    </xf>
    <xf numFmtId="170" fontId="0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70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true"/>
    </xf>
    <xf numFmtId="166" fontId="7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0" fillId="0" borderId="0" xfId="0" applyFont="false" applyBorder="false" applyAlignment="true" applyProtection="true">
      <alignment horizontal="center" vertical="bottom" textRotation="0" wrapText="false" indent="0" shrinkToFit="false"/>
      <protection locked="true" hidden="true"/>
    </xf>
    <xf numFmtId="164" fontId="0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tru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6" fontId="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true">
      <alignment horizontal="left" vertical="bottom" textRotation="0" wrapText="false" indent="0" shrinkToFit="false"/>
      <protection locked="true" hidden="true"/>
    </xf>
    <xf numFmtId="166" fontId="7" fillId="0" borderId="0" xfId="0" applyFont="true" applyBorder="false" applyAlignment="true" applyProtection="true">
      <alignment horizontal="left" vertical="bottom" textRotation="0" wrapText="false" indent="0" shrinkToFit="false"/>
      <protection locked="true" hidden="true"/>
    </xf>
    <xf numFmtId="164" fontId="7" fillId="0" borderId="0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6" fontId="7" fillId="0" borderId="0" xfId="0" applyFont="true" applyBorder="false" applyAlignment="true" applyProtection="true">
      <alignment horizontal="left" vertical="bottom" textRotation="0" wrapText="true" indent="0" shrinkToFit="false"/>
      <protection locked="true" hidden="true"/>
    </xf>
    <xf numFmtId="172" fontId="7" fillId="0" borderId="0" xfId="0" applyFont="true" applyBorder="false" applyAlignment="true" applyProtection="true">
      <alignment horizontal="center" vertical="bottom" textRotation="0" wrapText="true" indent="0" shrinkToFit="false"/>
      <protection locked="true" hidden="true"/>
    </xf>
    <xf numFmtId="164" fontId="7" fillId="0" borderId="0" xfId="0" applyFont="true" applyBorder="false" applyAlignment="true" applyProtection="true">
      <alignment horizontal="center" vertical="bottom" textRotation="0" wrapText="true" indent="0" shrinkToFit="false"/>
      <protection locked="true" hidden="true"/>
    </xf>
    <xf numFmtId="164" fontId="9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99999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65"/>
  <sheetViews>
    <sheetView windowProtection="false" showFormulas="false" showGridLines="true" showRowColHeaders="true" showZeros="fals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4.15"/>
  <cols>
    <col collapsed="false" hidden="false" max="1" min="1" style="0" width="8.50510204081633"/>
    <col collapsed="false" hidden="false" max="2" min="2" style="0" width="11.8775510204082"/>
    <col collapsed="false" hidden="false" max="3" min="3" style="0" width="56.8673469387755"/>
    <col collapsed="false" hidden="false" max="4" min="4" style="0" width="15.2551020408163"/>
    <col collapsed="false" hidden="false" max="5" min="5" style="0" width="3.51020408163265"/>
    <col collapsed="false" hidden="false" max="6" min="6" style="0" width="9.44897959183673"/>
    <col collapsed="false" hidden="false" max="7" min="7" style="0" width="6.0765306122449"/>
    <col collapsed="false" hidden="false" max="8" min="8" style="0" width="15.1173469387755"/>
    <col collapsed="false" hidden="false" max="9" min="9" style="0" width="50.0816326530612"/>
    <col collapsed="false" hidden="false" max="11" min="11" style="0" width="10.8010204081633"/>
  </cols>
  <sheetData>
    <row r="1" customFormat="false" ht="17" hidden="false" customHeight="true" outlineLevel="0" collapsed="false">
      <c r="A1" s="1"/>
      <c r="B1" s="2" t="s">
        <v>0</v>
      </c>
      <c r="C1" s="3" t="s">
        <v>1</v>
      </c>
      <c r="D1" s="4"/>
      <c r="E1" s="5"/>
      <c r="F1" s="6" t="n">
        <f aca="true">IF(A1=0,DATE(YEAR(TODAY()),1,1),DATE(A1,1,1))</f>
        <v>42370</v>
      </c>
      <c r="G1" s="6"/>
      <c r="H1" s="7" t="n">
        <f aca="false">COUNTIF(H3:H49,"&gt;0")</f>
        <v>44</v>
      </c>
      <c r="I1" s="5"/>
      <c r="J1" s="5"/>
      <c r="K1" s="5"/>
    </row>
    <row r="2" customFormat="false" ht="12.8" hidden="false" customHeight="true" outlineLevel="0" collapsed="false">
      <c r="A2" s="8"/>
      <c r="B2" s="4"/>
      <c r="C2" s="4"/>
      <c r="D2" s="4"/>
      <c r="E2" s="5"/>
      <c r="F2" s="5"/>
      <c r="G2" s="5"/>
      <c r="H2" s="5"/>
      <c r="I2" s="5"/>
      <c r="J2" s="5"/>
      <c r="K2" s="5"/>
    </row>
    <row r="3" customFormat="false" ht="14.15" hidden="false" customHeight="true" outlineLevel="0" collapsed="false">
      <c r="A3" s="9" t="n">
        <f aca="false">IF(E3=0,0,LARGE(H$3:H$49,(H$1)-E2))</f>
        <v>42370</v>
      </c>
      <c r="B3" s="10" t="n">
        <f aca="false">A3</f>
        <v>42370</v>
      </c>
      <c r="C3" s="11" t="str">
        <f aca="false">IF(A3=0,0,VLOOKUP(A3,H$3:I$49,2,0))</f>
        <v>Protochroniá (New Year's Day) / Agios Basileios (Saint Vasilios)</v>
      </c>
      <c r="D3" s="4" t="str">
        <f aca="false">IF(A3=0,0,VLOOKUP(A3,H$3:K$49,4,0))</f>
        <v>National Holiday</v>
      </c>
      <c r="E3" s="5" t="n">
        <f aca="false">E2+1</f>
        <v>1</v>
      </c>
      <c r="F3" s="12" t="n">
        <f aca="false">F$60-70</f>
        <v>42421</v>
      </c>
      <c r="G3" s="13" t="n">
        <f aca="false">0.000694444444444444*J3</f>
        <v>0</v>
      </c>
      <c r="H3" s="14" t="n">
        <f aca="false">F3+G3</f>
        <v>42421</v>
      </c>
      <c r="I3" s="5" t="s">
        <v>2</v>
      </c>
      <c r="J3" s="5"/>
      <c r="K3" s="5"/>
    </row>
    <row r="4" customFormat="false" ht="14.15" hidden="false" customHeight="true" outlineLevel="0" collapsed="false">
      <c r="A4" s="9" t="n">
        <f aca="false">IF(E4=0,0,LARGE(H$3:H$49,(H$1)-E3))</f>
        <v>42375</v>
      </c>
      <c r="B4" s="10" t="n">
        <f aca="false">A4</f>
        <v>42375</v>
      </c>
      <c r="C4" s="11" t="str">
        <f aca="false">IF(A4=0,0,VLOOKUP(A4,H$3:I$49,2,0))</f>
        <v>Theophánia (Epiphany)</v>
      </c>
      <c r="D4" s="4" t="str">
        <f aca="false">IF(A4=0,0,VLOOKUP(A4,H$3:K$49,4,0))</f>
        <v>National Holiday</v>
      </c>
      <c r="E4" s="5" t="n">
        <f aca="false">IF(LARGE(E$3:E3,1)&lt;H$1,LARGE(E$3:E3,1)+1,0)</f>
        <v>2</v>
      </c>
      <c r="F4" s="12" t="n">
        <f aca="false">F$60-59</f>
        <v>42432</v>
      </c>
      <c r="G4" s="13" t="n">
        <f aca="false">0.000694444444444444*J4</f>
        <v>0</v>
      </c>
      <c r="H4" s="14" t="n">
        <f aca="false">F4+G4</f>
        <v>42432</v>
      </c>
      <c r="I4" s="5" t="s">
        <v>3</v>
      </c>
      <c r="J4" s="5"/>
      <c r="K4" s="5"/>
    </row>
    <row r="5" customFormat="false" ht="14.15" hidden="false" customHeight="true" outlineLevel="0" collapsed="false">
      <c r="A5" s="9" t="n">
        <f aca="false">IF(E5=0,0,LARGE(H$3:H$49,(H$1)-E4))</f>
        <v>42410</v>
      </c>
      <c r="B5" s="10" t="n">
        <f aca="false">A5</f>
        <v>42410</v>
      </c>
      <c r="C5" s="11" t="str">
        <f aca="false">IF(A5=0,0,VLOOKUP(A5,H$3:I$49,2,0))</f>
        <v>Agios Haralambos</v>
      </c>
      <c r="D5" s="4" t="str">
        <f aca="false">IF(A5=0,0,VLOOKUP(A5,H$3:K$49,4,0))</f>
        <v>Lixouri celebration</v>
      </c>
      <c r="E5" s="5" t="n">
        <f aca="false">IF(LARGE(E$3:E4,1)&lt;H$1,LARGE(E$3:E4,1)+1,0)</f>
        <v>3</v>
      </c>
      <c r="F5" s="12" t="n">
        <f aca="false">F$60-56</f>
        <v>42435</v>
      </c>
      <c r="G5" s="13" t="n">
        <f aca="false">0.000694444444444444*J5</f>
        <v>0</v>
      </c>
      <c r="H5" s="14" t="n">
        <f aca="false">F5+G5</f>
        <v>42435</v>
      </c>
      <c r="I5" s="5" t="s">
        <v>4</v>
      </c>
      <c r="J5" s="5" t="n">
        <f aca="false">COUNTIF(F$3:F4,F5)</f>
        <v>0</v>
      </c>
      <c r="K5" s="5"/>
    </row>
    <row r="6" customFormat="false" ht="14.15" hidden="false" customHeight="true" outlineLevel="0" collapsed="false">
      <c r="A6" s="9" t="n">
        <f aca="false">IF(E6=0,0,LARGE(H$3:H$49,(H$1)-E5))</f>
        <v>42421</v>
      </c>
      <c r="B6" s="10" t="n">
        <f aca="false">A6</f>
        <v>42421</v>
      </c>
      <c r="C6" s="11" t="str">
        <f aca="false">IF(A6=0,0,VLOOKUP(A6,H$3:I$49,2,0))</f>
        <v>Triodion / Apokreas (karnavali) begins</v>
      </c>
      <c r="D6" s="4" t="n">
        <f aca="false">IF(A6=0,0,VLOOKUP(A6,H$3:K$49,4,0))</f>
        <v>0</v>
      </c>
      <c r="E6" s="5" t="n">
        <f aca="false">IF(LARGE(E$3:E5,1)&lt;H$1,LARGE(E$3:E5,1)+1,0)</f>
        <v>4</v>
      </c>
      <c r="F6" s="12" t="n">
        <f aca="false">F$60-49</f>
        <v>42442</v>
      </c>
      <c r="G6" s="13" t="n">
        <f aca="false">0.000694444444444444*J6</f>
        <v>0</v>
      </c>
      <c r="H6" s="14" t="n">
        <f aca="false">F6+G6</f>
        <v>42442</v>
      </c>
      <c r="I6" s="5" t="s">
        <v>5</v>
      </c>
      <c r="J6" s="5" t="n">
        <f aca="false">COUNTIF(F$3:F5,F6)</f>
        <v>0</v>
      </c>
      <c r="K6" s="5"/>
    </row>
    <row r="7" customFormat="false" ht="14.15" hidden="false" customHeight="true" outlineLevel="0" collapsed="false">
      <c r="A7" s="9" t="n">
        <f aca="false">IF(E7=0,0,LARGE(H$3:H$49,(H$1)-E6))</f>
        <v>42429</v>
      </c>
      <c r="B7" s="10" t="n">
        <f aca="false">A7</f>
        <v>42429</v>
      </c>
      <c r="C7" s="11" t="str">
        <f aca="false">IF(A7=0,0,VLOOKUP(A7,H$3:I$49,2,0))</f>
        <v>Leap Day</v>
      </c>
      <c r="D7" s="4" t="n">
        <f aca="false">IF(A7=0,0,VLOOKUP(A7,H$3:K$49,4,0))</f>
        <v>0</v>
      </c>
      <c r="E7" s="5" t="n">
        <f aca="false">IF(LARGE(E$3:E6,1)&lt;H$1,LARGE(E$3:E6,1)+1,0)</f>
        <v>5</v>
      </c>
      <c r="F7" s="12" t="n">
        <f aca="false">F$60-48</f>
        <v>42443</v>
      </c>
      <c r="G7" s="13" t="n">
        <f aca="false">0.000694444444444444*J7</f>
        <v>0</v>
      </c>
      <c r="H7" s="14" t="n">
        <f aca="false">F7+G7</f>
        <v>42443</v>
      </c>
      <c r="I7" s="5" t="s">
        <v>6</v>
      </c>
      <c r="J7" s="5" t="n">
        <f aca="false">COUNTIF(F$3:F6,F7)</f>
        <v>0</v>
      </c>
      <c r="K7" s="5" t="s">
        <v>7</v>
      </c>
    </row>
    <row r="8" customFormat="false" ht="14.15" hidden="false" customHeight="true" outlineLevel="0" collapsed="false">
      <c r="A8" s="9" t="n">
        <f aca="false">IF(E8=0,0,LARGE(H$3:H$49,(H$1)-E7))</f>
        <v>42432</v>
      </c>
      <c r="B8" s="10" t="n">
        <f aca="false">A8</f>
        <v>42432</v>
      </c>
      <c r="C8" s="11" t="str">
        <f aca="false">IF(A8=0,0,VLOOKUP(A8,H$3:I$49,2,0))</f>
        <v>Tsiknopempti (Meatfare Thursday)</v>
      </c>
      <c r="D8" s="4" t="n">
        <f aca="false">IF(A8=0,0,VLOOKUP(A8,H$3:K$49,4,0))</f>
        <v>0</v>
      </c>
      <c r="E8" s="5" t="n">
        <f aca="false">IF(LARGE(E$3:E7,1)&lt;H$1,LARGE(E$3:E7,1)+1,0)</f>
        <v>6</v>
      </c>
      <c r="F8" s="12" t="n">
        <f aca="false">F$60-7</f>
        <v>42484</v>
      </c>
      <c r="G8" s="13" t="n">
        <f aca="false">0.000694444444444444*J8</f>
        <v>0</v>
      </c>
      <c r="H8" s="14" t="n">
        <f aca="false">F8+G8</f>
        <v>42484</v>
      </c>
      <c r="I8" s="5" t="s">
        <v>8</v>
      </c>
      <c r="J8" s="5" t="n">
        <f aca="false">COUNTIF(F$3:F7,F8)</f>
        <v>0</v>
      </c>
      <c r="K8" s="5"/>
    </row>
    <row r="9" customFormat="false" ht="14.15" hidden="false" customHeight="true" outlineLevel="0" collapsed="false">
      <c r="A9" s="9" t="n">
        <f aca="false">IF(E9=0,0,LARGE(H$3:H$49,(H$1)-E8))</f>
        <v>42435</v>
      </c>
      <c r="B9" s="10" t="n">
        <f aca="false">A9</f>
        <v>42435</v>
      </c>
      <c r="C9" s="11" t="str">
        <f aca="false">IF(A9=0,0,VLOOKUP(A9,H$3:I$49,2,0))</f>
        <v>Kyriaki tis apokreo (Meatfare Sunday)</v>
      </c>
      <c r="D9" s="4" t="n">
        <f aca="false">IF(A9=0,0,VLOOKUP(A9,H$3:K$49,4,0))</f>
        <v>0</v>
      </c>
      <c r="E9" s="5" t="n">
        <f aca="false">IF(LARGE(E$3:E8,1)&lt;H$1,LARGE(E$3:E8,1)+1,0)</f>
        <v>7</v>
      </c>
      <c r="F9" s="12" t="n">
        <f aca="false">F$60-2</f>
        <v>42489</v>
      </c>
      <c r="G9" s="13" t="n">
        <f aca="false">0.000694444444444444*J9</f>
        <v>0</v>
      </c>
      <c r="H9" s="14" t="n">
        <f aca="false">F9+G9</f>
        <v>42489</v>
      </c>
      <c r="I9" s="5" t="s">
        <v>9</v>
      </c>
      <c r="J9" s="5" t="n">
        <f aca="false">COUNTIF(F$3:F8,F9)</f>
        <v>0</v>
      </c>
      <c r="K9" s="5" t="s">
        <v>7</v>
      </c>
    </row>
    <row r="10" customFormat="false" ht="14.15" hidden="false" customHeight="true" outlineLevel="0" collapsed="false">
      <c r="A10" s="9" t="n">
        <f aca="false">IF(E10=0,0,LARGE(H$3:H$49,(H$1)-E9))</f>
        <v>42442</v>
      </c>
      <c r="B10" s="10" t="n">
        <f aca="false">A10</f>
        <v>42442</v>
      </c>
      <c r="C10" s="11" t="str">
        <f aca="false">IF(A10=0,0,VLOOKUP(A10,H$3:I$49,2,0))</f>
        <v>Tyrofagis (Cheesefare Sunday) / Karnavali culminates</v>
      </c>
      <c r="D10" s="4" t="n">
        <f aca="false">IF(A10=0,0,VLOOKUP(A10,H$3:K$49,4,0))</f>
        <v>0</v>
      </c>
      <c r="E10" s="5" t="n">
        <f aca="false">IF(LARGE(E$3:E9,1)&lt;H$1,LARGE(E$3:E9,1)+1,0)</f>
        <v>8</v>
      </c>
      <c r="F10" s="15" t="n">
        <f aca="false">F$60</f>
        <v>42491</v>
      </c>
      <c r="G10" s="13" t="n">
        <f aca="false">0.000694444444444444*J10</f>
        <v>0</v>
      </c>
      <c r="H10" s="14" t="n">
        <f aca="false">F10+G10</f>
        <v>42491</v>
      </c>
      <c r="I10" s="16" t="s">
        <v>10</v>
      </c>
      <c r="J10" s="5" t="n">
        <f aca="false">COUNTIF(F$3:F9,F10)</f>
        <v>0</v>
      </c>
      <c r="K10" s="5" t="s">
        <v>7</v>
      </c>
    </row>
    <row r="11" customFormat="false" ht="14.15" hidden="false" customHeight="true" outlineLevel="0" collapsed="false">
      <c r="A11" s="9" t="n">
        <f aca="false">IF(E11=0,0,LARGE(H$3:H$49,(H$1)-E10))</f>
        <v>42443</v>
      </c>
      <c r="B11" s="10" t="n">
        <f aca="false">A11</f>
        <v>42443</v>
      </c>
      <c r="C11" s="11" t="str">
        <f aca="false">IF(A11=0,0,VLOOKUP(A11,H$3:I$49,2,0))</f>
        <v>Kathara Devtera (Clean Monday)</v>
      </c>
      <c r="D11" s="4" t="str">
        <f aca="false">IF(A11=0,0,VLOOKUP(A11,H$3:K$49,4,0))</f>
        <v>National Holiday</v>
      </c>
      <c r="E11" s="5" t="n">
        <f aca="false">IF(LARGE(E$3:E10,1)&lt;H$1,LARGE(E$3:E10,1)+1,0)</f>
        <v>9</v>
      </c>
      <c r="F11" s="12" t="n">
        <f aca="false">F$60+1</f>
        <v>42492</v>
      </c>
      <c r="G11" s="13" t="n">
        <f aca="false">0.000694444444444444*J11</f>
        <v>0</v>
      </c>
      <c r="H11" s="14" t="n">
        <f aca="false">F11+G11</f>
        <v>42492</v>
      </c>
      <c r="I11" s="5" t="s">
        <v>11</v>
      </c>
      <c r="J11" s="5" t="n">
        <f aca="false">COUNTIF(F$3:F10,F11)</f>
        <v>0</v>
      </c>
      <c r="K11" s="5" t="s">
        <v>7</v>
      </c>
    </row>
    <row r="12" customFormat="false" ht="14.15" hidden="false" customHeight="true" outlineLevel="0" collapsed="false">
      <c r="A12" s="9" t="n">
        <f aca="false">IF(E12=0,0,LARGE(H$3:H$49,(H$1)-E11))</f>
        <v>42454</v>
      </c>
      <c r="B12" s="10" t="n">
        <f aca="false">A12</f>
        <v>42454</v>
      </c>
      <c r="C12" s="11" t="str">
        <f aca="false">IF(A12=0,0,VLOOKUP(A12,H$3:I$49,2,0))</f>
        <v>Eikostí-pémpti Martíou (Independence Day) / Annunciation</v>
      </c>
      <c r="D12" s="4" t="str">
        <f aca="false">IF(A12=0,0,VLOOKUP(A12,H$3:K$49,4,0))</f>
        <v>National Holiday</v>
      </c>
      <c r="E12" s="5" t="n">
        <f aca="false">IF(LARGE(E$3:E11,1)&lt;H$1,LARGE(E$3:E11,1)+1,0)</f>
        <v>10</v>
      </c>
      <c r="F12" s="15" t="n">
        <f aca="false">F$60+39</f>
        <v>42530</v>
      </c>
      <c r="G12" s="13" t="n">
        <f aca="false">0.000694444444444444*J12</f>
        <v>0</v>
      </c>
      <c r="H12" s="14" t="n">
        <f aca="false">F12+G12</f>
        <v>42530</v>
      </c>
      <c r="I12" s="5" t="s">
        <v>12</v>
      </c>
      <c r="J12" s="5" t="n">
        <f aca="false">COUNTIF(F$3:F11,F12)</f>
        <v>0</v>
      </c>
      <c r="K12" s="5"/>
    </row>
    <row r="13" customFormat="false" ht="14.15" hidden="false" customHeight="true" outlineLevel="0" collapsed="false">
      <c r="A13" s="9" t="n">
        <f aca="false">IF(E13=0,0,LARGE(H$3:H$49,(H$1)-E12))</f>
        <v>42454.0006944445</v>
      </c>
      <c r="B13" s="10" t="n">
        <f aca="false">A13</f>
        <v>42454.0006944445</v>
      </c>
      <c r="C13" s="11" t="str">
        <f aca="false">IF(A13=0,0,VLOOKUP(A13,H$3:I$49,2,0))</f>
        <v>Good Friday (UK)</v>
      </c>
      <c r="D13" s="4" t="n">
        <f aca="false">IF(A13=0,0,VLOOKUP(A13,H$3:K$49,4,0))</f>
        <v>0</v>
      </c>
      <c r="E13" s="5" t="n">
        <f aca="false">IF(LARGE(E$3:E12,1)&lt;H$1,LARGE(E$3:E12,1)+1,0)</f>
        <v>11</v>
      </c>
      <c r="F13" s="15" t="n">
        <f aca="false">F$60+49</f>
        <v>42540</v>
      </c>
      <c r="G13" s="13" t="n">
        <f aca="false">0.000694444444444444*J13</f>
        <v>0</v>
      </c>
      <c r="H13" s="14" t="n">
        <f aca="false">F13+G13</f>
        <v>42540</v>
      </c>
      <c r="I13" s="5" t="s">
        <v>13</v>
      </c>
      <c r="J13" s="5" t="n">
        <f aca="false">COUNTIF(F$3:F12,F13)</f>
        <v>0</v>
      </c>
      <c r="K13" s="5"/>
    </row>
    <row r="14" customFormat="false" ht="14.15" hidden="false" customHeight="true" outlineLevel="0" collapsed="false">
      <c r="A14" s="9" t="n">
        <f aca="false">IF(E14=0,0,LARGE(H$3:H$49,(H$1)-E13))</f>
        <v>42456</v>
      </c>
      <c r="B14" s="10" t="n">
        <f aca="false">A14</f>
        <v>42456</v>
      </c>
      <c r="C14" s="11" t="str">
        <f aca="false">IF(A14=0,0,VLOOKUP(A14,H$3:I$49,2,0))</f>
        <v>European Daylight Saving Time starts (clocks spring forward 1 hour)</v>
      </c>
      <c r="D14" s="4" t="n">
        <f aca="false">IF(A14=0,0,VLOOKUP(A14,H$3:K$49,4,0))</f>
        <v>0</v>
      </c>
      <c r="E14" s="5" t="n">
        <f aca="false">IF(LARGE(E$3:E13,1)&lt;H$1,LARGE(E$3:E13,1)+1,0)</f>
        <v>12</v>
      </c>
      <c r="F14" s="15" t="n">
        <f aca="false">F$60+50</f>
        <v>42541</v>
      </c>
      <c r="G14" s="13" t="n">
        <f aca="false">0.000694444444444444*J14</f>
        <v>0</v>
      </c>
      <c r="H14" s="14" t="n">
        <f aca="false">F14+G14</f>
        <v>42541</v>
      </c>
      <c r="I14" s="5" t="s">
        <v>14</v>
      </c>
      <c r="J14" s="5" t="n">
        <f aca="false">COUNTIF(F$3:F13,F14)</f>
        <v>0</v>
      </c>
      <c r="K14" s="5" t="s">
        <v>7</v>
      </c>
    </row>
    <row r="15" customFormat="false" ht="14.15" hidden="false" customHeight="true" outlineLevel="0" collapsed="false">
      <c r="A15" s="9" t="n">
        <f aca="false">IF(E15=0,0,LARGE(H$3:H$49,(H$1)-E14))</f>
        <v>42456.0006944444</v>
      </c>
      <c r="B15" s="10" t="n">
        <f aca="false">A15</f>
        <v>42456.0006944444</v>
      </c>
      <c r="C15" s="11" t="str">
        <f aca="false">IF(A15=0,0,VLOOKUP(A15,H$3:I$49,2,0))</f>
        <v>Easter Sunday (UK)</v>
      </c>
      <c r="D15" s="4" t="n">
        <f aca="false">IF(A15=0,0,VLOOKUP(A15,H$3:K$49,4,0))</f>
        <v>0</v>
      </c>
      <c r="E15" s="5" t="n">
        <f aca="false">IF(LARGE(E$3:E14,1)&lt;H$1,LARGE(E$3:E14,1)+1,0)</f>
        <v>13</v>
      </c>
      <c r="F15" s="15" t="n">
        <f aca="false">F$60+56</f>
        <v>42547</v>
      </c>
      <c r="G15" s="13" t="n">
        <f aca="false">0.000694444444444444*J15</f>
        <v>0</v>
      </c>
      <c r="H15" s="14" t="n">
        <f aca="false">F15+G15</f>
        <v>42547</v>
      </c>
      <c r="I15" s="5" t="s">
        <v>15</v>
      </c>
      <c r="J15" s="5" t="n">
        <f aca="false">COUNTIF(F$3:F14,F15)</f>
        <v>0</v>
      </c>
      <c r="K15" s="5"/>
    </row>
    <row r="16" customFormat="false" ht="14.15" hidden="false" customHeight="true" outlineLevel="0" collapsed="false">
      <c r="A16" s="9" t="n">
        <f aca="false">IF(E16=0,0,LARGE(H$3:H$49,(H$1)-E15))</f>
        <v>42457</v>
      </c>
      <c r="B16" s="10" t="n">
        <f aca="false">A16</f>
        <v>42457</v>
      </c>
      <c r="C16" s="11" t="str">
        <f aca="false">IF(A16=0,0,VLOOKUP(A16,H$3:I$49,2,0))</f>
        <v>Easter Monday (UK)</v>
      </c>
      <c r="D16" s="4" t="n">
        <f aca="false">IF(A16=0,0,VLOOKUP(A16,H$3:K$49,4,0))</f>
        <v>0</v>
      </c>
      <c r="E16" s="5" t="n">
        <f aca="false">IF(LARGE(E$3:E15,1)&lt;H$1,LARGE(E$3:E15,1)+1,0)</f>
        <v>14</v>
      </c>
      <c r="F16" s="15" t="n">
        <f aca="false">(ROUNDUP(31-(MOD(5*(YEAR(F1)/4)+4,7)),0)&amp;"/03/"&amp;YEAR(F1))*1</f>
        <v>42456</v>
      </c>
      <c r="G16" s="13" t="n">
        <f aca="false">0.000694444444444444*J16</f>
        <v>0</v>
      </c>
      <c r="H16" s="14" t="n">
        <f aca="false">F16+G16</f>
        <v>42456</v>
      </c>
      <c r="I16" s="5" t="s">
        <v>16</v>
      </c>
      <c r="J16" s="5" t="n">
        <f aca="false">COUNTIF(F$3:F15,F16)</f>
        <v>0</v>
      </c>
      <c r="K16" s="5"/>
    </row>
    <row r="17" customFormat="false" ht="14.15" hidden="false" customHeight="true" outlineLevel="0" collapsed="false">
      <c r="A17" s="9" t="n">
        <f aca="false">IF(E17=0,0,LARGE(H$3:H$49,(H$1)-E16))</f>
        <v>42484</v>
      </c>
      <c r="B17" s="10" t="n">
        <f aca="false">A17</f>
        <v>42484</v>
      </c>
      <c r="C17" s="11" t="str">
        <f aca="false">IF(A17=0,0,VLOOKUP(A17,H$3:I$49,2,0))</f>
        <v>Kyriaki ton Vaion (Palm Sunday)</v>
      </c>
      <c r="D17" s="4" t="n">
        <f aca="false">IF(A17=0,0,VLOOKUP(A17,H$3:K$49,4,0))</f>
        <v>0</v>
      </c>
      <c r="E17" s="5" t="n">
        <f aca="false">IF(LARGE(E$3:E16,1)&lt;H$1,LARGE(E$3:E16,1)+1,0)</f>
        <v>15</v>
      </c>
      <c r="F17" s="15" t="n">
        <f aca="false">(ROUNDUP(31-(MOD(5*(YEAR(F1)/4)+1,7)),0)&amp;"/10/"&amp;YEAR(F1))*1</f>
        <v>42673</v>
      </c>
      <c r="G17" s="13" t="n">
        <f aca="false">0.000694444444444444*J17</f>
        <v>0</v>
      </c>
      <c r="H17" s="14" t="n">
        <f aca="false">F17+G17</f>
        <v>42673</v>
      </c>
      <c r="I17" s="5" t="s">
        <v>17</v>
      </c>
      <c r="J17" s="5" t="n">
        <f aca="false">COUNTIF(F$3:F16,F17)</f>
        <v>0</v>
      </c>
      <c r="K17" s="5"/>
    </row>
    <row r="18" customFormat="false" ht="14.15" hidden="false" customHeight="true" outlineLevel="0" collapsed="false">
      <c r="A18" s="9" t="n">
        <f aca="false">IF(E18=0,0,LARGE(H$3:H$49,(H$1)-E17))</f>
        <v>42489</v>
      </c>
      <c r="B18" s="10" t="n">
        <f aca="false">A18</f>
        <v>42489</v>
      </c>
      <c r="C18" s="11" t="str">
        <f aca="false">IF(A18=0,0,VLOOKUP(A18,H$3:I$49,2,0))</f>
        <v>Megali Paraskevi (Great Friday)</v>
      </c>
      <c r="D18" s="4" t="str">
        <f aca="false">IF(A18=0,0,VLOOKUP(A18,H$3:K$49,4,0))</f>
        <v>National Holiday</v>
      </c>
      <c r="E18" s="5" t="n">
        <f aca="false">IF(LARGE(E$3:E17,1)&lt;H$1,LARGE(E$3:E17,1)+1,0)</f>
        <v>16</v>
      </c>
      <c r="F18" s="15" t="n">
        <f aca="false">DATE(YEAR(F$1),1,1)</f>
        <v>42370</v>
      </c>
      <c r="G18" s="13" t="n">
        <f aca="false">0.000694444444444444*J18</f>
        <v>0</v>
      </c>
      <c r="H18" s="14" t="n">
        <f aca="false">F18+G18</f>
        <v>42370</v>
      </c>
      <c r="I18" s="16" t="s">
        <v>18</v>
      </c>
      <c r="J18" s="5" t="n">
        <f aca="false">COUNTIF(F$3:F17,F18)</f>
        <v>0</v>
      </c>
      <c r="K18" s="5" t="s">
        <v>7</v>
      </c>
    </row>
    <row r="19" customFormat="false" ht="14.15" hidden="false" customHeight="true" outlineLevel="0" collapsed="false">
      <c r="A19" s="9" t="n">
        <f aca="false">IF(E19=0,0,LARGE(H$3:H$49,(H$1)-E18))</f>
        <v>42491</v>
      </c>
      <c r="B19" s="10" t="n">
        <f aca="false">A19</f>
        <v>42491</v>
      </c>
      <c r="C19" s="11" t="str">
        <f aca="false">IF(A19=0,0,VLOOKUP(A19,H$3:I$49,2,0))</f>
        <v>Kyriakí tou Páscha (Easter Sunday)</v>
      </c>
      <c r="D19" s="4" t="str">
        <f aca="false">IF(A19=0,0,VLOOKUP(A19,H$3:K$49,4,0))</f>
        <v>National Holiday</v>
      </c>
      <c r="E19" s="5" t="n">
        <f aca="false">IF(LARGE(E$3:E18,1)&lt;H$1,LARGE(E$3:E18,1)+1,0)</f>
        <v>17</v>
      </c>
      <c r="F19" s="15" t="n">
        <f aca="false">DATE(YEAR(F$1),1,6)</f>
        <v>42375</v>
      </c>
      <c r="G19" s="13" t="n">
        <f aca="false">0.000694444444444444*J19</f>
        <v>0</v>
      </c>
      <c r="H19" s="14" t="n">
        <f aca="false">F19+G19</f>
        <v>42375</v>
      </c>
      <c r="I19" s="16" t="s">
        <v>19</v>
      </c>
      <c r="J19" s="5" t="n">
        <f aca="false">COUNTIF(F$3:F18,F19)</f>
        <v>0</v>
      </c>
      <c r="K19" s="5" t="s">
        <v>7</v>
      </c>
    </row>
    <row r="20" customFormat="false" ht="14.15" hidden="false" customHeight="true" outlineLevel="0" collapsed="false">
      <c r="A20" s="9" t="n">
        <f aca="false">IF(E20=0,0,LARGE(H$3:H$49,(H$1)-E19))</f>
        <v>42491.0006944444</v>
      </c>
      <c r="B20" s="10" t="n">
        <f aca="false">A20</f>
        <v>42491.0006944444</v>
      </c>
      <c r="C20" s="11" t="str">
        <f aca="false">IF(A20=0,0,VLOOKUP(A20,H$3:I$49,2,0))</f>
        <v>Ergatikí Protomayiá (May Day / Labour Day) *</v>
      </c>
      <c r="D20" s="4" t="str">
        <f aca="false">IF(A20=0,0,VLOOKUP(A20,H$3:K$49,4,0))</f>
        <v>'Strike Day'</v>
      </c>
      <c r="E20" s="5" t="n">
        <f aca="false">IF(LARGE(E$3:E19,1)&lt;H$1,LARGE(E$3:E19,1)+1,0)</f>
        <v>18</v>
      </c>
      <c r="F20" s="15" t="n">
        <f aca="false">DATE(YEAR(F$1),2,10)</f>
        <v>42410</v>
      </c>
      <c r="G20" s="13" t="n">
        <f aca="false">0.000694444444444444*J20</f>
        <v>0</v>
      </c>
      <c r="H20" s="14" t="n">
        <f aca="false">F20+G20</f>
        <v>42410</v>
      </c>
      <c r="I20" s="16" t="s">
        <v>20</v>
      </c>
      <c r="J20" s="5" t="n">
        <f aca="false">COUNTIF(F$3:F19,F20)</f>
        <v>0</v>
      </c>
      <c r="K20" s="5" t="s">
        <v>21</v>
      </c>
    </row>
    <row r="21" customFormat="false" ht="14.15" hidden="false" customHeight="true" outlineLevel="0" collapsed="false">
      <c r="A21" s="9" t="n">
        <f aca="false">IF(E21=0,0,LARGE(H$3:H$49,(H$1)-E20))</f>
        <v>42492</v>
      </c>
      <c r="B21" s="10" t="n">
        <f aca="false">A21</f>
        <v>42492</v>
      </c>
      <c r="C21" s="11" t="str">
        <f aca="false">IF(A21=0,0,VLOOKUP(A21,H$3:I$49,2,0))</f>
        <v>Devtera tou Paska (Easter Monday)</v>
      </c>
      <c r="D21" s="4" t="str">
        <f aca="false">IF(A21=0,0,VLOOKUP(A21,H$3:K$49,4,0))</f>
        <v>National Holiday</v>
      </c>
      <c r="E21" s="5" t="n">
        <f aca="false">IF(LARGE(E$3:E20,1)&lt;H$1,LARGE(E$3:E20,1)+1,0)</f>
        <v>19</v>
      </c>
      <c r="F21" s="15" t="n">
        <f aca="false">DATE(YEAR(F$1),3,25)</f>
        <v>42454</v>
      </c>
      <c r="G21" s="13" t="n">
        <f aca="false">0.000694444444444444*J21</f>
        <v>0</v>
      </c>
      <c r="H21" s="14" t="n">
        <f aca="false">F21+G21</f>
        <v>42454</v>
      </c>
      <c r="I21" s="16" t="s">
        <v>22</v>
      </c>
      <c r="J21" s="5" t="n">
        <f aca="false">COUNTIF(F$3:F20,F21)</f>
        <v>0</v>
      </c>
      <c r="K21" s="5" t="s">
        <v>7</v>
      </c>
    </row>
    <row r="22" customFormat="false" ht="14.15" hidden="false" customHeight="true" outlineLevel="0" collapsed="false">
      <c r="A22" s="9" t="n">
        <f aca="false">IF(E22=0,0,LARGE(H$3:H$49,(H$1)-E21))</f>
        <v>42507</v>
      </c>
      <c r="B22" s="10" t="n">
        <f aca="false">A22</f>
        <v>42507</v>
      </c>
      <c r="C22" s="11" t="str">
        <f aca="false">IF(A22=0,0,VLOOKUP(A22,H$3:I$49,2,0))</f>
        <v>Anna Pollatou, Kefalonian gymnast, motor accident casualty 2014</v>
      </c>
      <c r="D22" s="4" t="n">
        <f aca="false">IF(A22=0,0,VLOOKUP(A22,H$3:K$49,4,0))</f>
        <v>0</v>
      </c>
      <c r="E22" s="5" t="n">
        <f aca="false">IF(LARGE(E$3:E21,1)&lt;H$1,LARGE(E$3:E21,1)+1,0)</f>
        <v>20</v>
      </c>
      <c r="F22" s="15" t="n">
        <f aca="false">DATE(YEAR(F$1),5,1)</f>
        <v>42491</v>
      </c>
      <c r="G22" s="13" t="n">
        <f aca="false">0.000694444444444444*J22</f>
        <v>0.000694444444444444</v>
      </c>
      <c r="H22" s="14" t="n">
        <f aca="false">F22+G22</f>
        <v>42491.0006944444</v>
      </c>
      <c r="I22" s="16" t="s">
        <v>23</v>
      </c>
      <c r="J22" s="5" t="n">
        <f aca="false">COUNTIF(F$3:F21,F22)</f>
        <v>1</v>
      </c>
      <c r="K22" s="5" t="s">
        <v>24</v>
      </c>
    </row>
    <row r="23" customFormat="false" ht="14.15" hidden="false" customHeight="true" outlineLevel="0" collapsed="false">
      <c r="A23" s="9" t="n">
        <f aca="false">IF(E23=0,0,LARGE(H$3:H$49,(H$1)-E22))</f>
        <v>42511</v>
      </c>
      <c r="B23" s="10" t="n">
        <f aca="false">A23</f>
        <v>42511</v>
      </c>
      <c r="C23" s="11" t="str">
        <f aca="false">IF(A23=0,0,VLOOKUP(A23,H$3:I$49,2,0))</f>
        <v>Union of Ionian Islands &amp; Greece, 1864 / Ag. Konstantinos &amp; Eleni</v>
      </c>
      <c r="D23" s="4" t="str">
        <f aca="false">IF(A23=0,0,VLOOKUP(A23,H$3:K$49,4,0))</f>
        <v>Kef celebration</v>
      </c>
      <c r="E23" s="5" t="n">
        <f aca="false">IF(LARGE(E$3:E22,1)&lt;H$1,LARGE(E$3:E22,1)+1,0)</f>
        <v>21</v>
      </c>
      <c r="F23" s="15" t="n">
        <f aca="false">DATE(YEAR(F$1),5,17)</f>
        <v>42507</v>
      </c>
      <c r="G23" s="13" t="n">
        <f aca="false">0.000694444444444444*J23</f>
        <v>0</v>
      </c>
      <c r="H23" s="14" t="n">
        <f aca="false">F23+G23</f>
        <v>42507</v>
      </c>
      <c r="I23" s="16" t="s">
        <v>25</v>
      </c>
      <c r="J23" s="5" t="n">
        <f aca="false">COUNTIF(F$3:F22,F23)</f>
        <v>0</v>
      </c>
      <c r="K23" s="5"/>
    </row>
    <row r="24" customFormat="false" ht="14.15" hidden="false" customHeight="true" outlineLevel="0" collapsed="false">
      <c r="A24" s="9" t="n">
        <f aca="false">IF(E24=0,0,LARGE(H$3:H$49,(H$1)-E23))</f>
        <v>42530</v>
      </c>
      <c r="B24" s="10" t="n">
        <f aca="false">A24</f>
        <v>42530</v>
      </c>
      <c r="C24" s="11" t="str">
        <f aca="false">IF(A24=0,0,VLOOKUP(A24,H$3:I$49,2,0))</f>
        <v>Analipsi tou Kristou (Ascension)</v>
      </c>
      <c r="D24" s="4" t="n">
        <f aca="false">IF(A24=0,0,VLOOKUP(A24,H$3:K$49,4,0))</f>
        <v>0</v>
      </c>
      <c r="E24" s="5" t="n">
        <f aca="false">IF(LARGE(E$3:E23,1)&lt;H$1,LARGE(E$3:E23,1)+1,0)</f>
        <v>22</v>
      </c>
      <c r="F24" s="15" t="n">
        <f aca="false">DATE(YEAR(F$1),5,21)</f>
        <v>42511</v>
      </c>
      <c r="G24" s="13" t="n">
        <f aca="false">0.000694444444444444*J24</f>
        <v>0</v>
      </c>
      <c r="H24" s="14" t="n">
        <f aca="false">F24+G24</f>
        <v>42511</v>
      </c>
      <c r="I24" s="16" t="s">
        <v>26</v>
      </c>
      <c r="J24" s="5" t="n">
        <f aca="false">COUNTIF(F$3:F23,F24)</f>
        <v>0</v>
      </c>
      <c r="K24" s="5" t="s">
        <v>27</v>
      </c>
    </row>
    <row r="25" customFormat="false" ht="14.15" hidden="false" customHeight="true" outlineLevel="0" collapsed="false">
      <c r="A25" s="9" t="n">
        <f aca="false">IF(E25=0,0,LARGE(H$3:H$49,(H$1)-E24))</f>
        <v>42540</v>
      </c>
      <c r="B25" s="10" t="n">
        <f aca="false">A25</f>
        <v>42540</v>
      </c>
      <c r="C25" s="11" t="str">
        <f aca="false">IF(A25=0,0,VLOOKUP(A25,H$3:I$49,2,0))</f>
        <v>Pentikosti (Pentecost)</v>
      </c>
      <c r="D25" s="4" t="n">
        <f aca="false">IF(A25=0,0,VLOOKUP(A25,H$3:K$49,4,0))</f>
        <v>0</v>
      </c>
      <c r="E25" s="5" t="n">
        <f aca="false">IF(LARGE(E$3:E24,1)&lt;H$1,LARGE(E$3:E24,1)+1,0)</f>
        <v>23</v>
      </c>
      <c r="F25" s="15" t="n">
        <f aca="false">DATE(YEAR(F$1),7,11)</f>
        <v>42562</v>
      </c>
      <c r="G25" s="13" t="n">
        <f aca="false">0.000694444444444444*J25</f>
        <v>0</v>
      </c>
      <c r="H25" s="14" t="n">
        <f aca="false">F25+G25</f>
        <v>42562</v>
      </c>
      <c r="I25" s="16" t="s">
        <v>28</v>
      </c>
      <c r="J25" s="5" t="n">
        <f aca="false">COUNTIF(F$3:F24,F25)</f>
        <v>0</v>
      </c>
      <c r="K25" s="5"/>
    </row>
    <row r="26" customFormat="false" ht="14.15" hidden="false" customHeight="true" outlineLevel="0" collapsed="false">
      <c r="A26" s="9" t="n">
        <f aca="false">IF(E26=0,0,LARGE(H$3:H$49,(H$1)-E25))</f>
        <v>42541</v>
      </c>
      <c r="B26" s="10" t="n">
        <f aca="false">A26</f>
        <v>42541</v>
      </c>
      <c r="C26" s="11" t="str">
        <f aca="false">IF(A26=0,0,VLOOKUP(A26,H$3:I$49,2,0))</f>
        <v>Agios Pnevmatos (Holy Spirit)</v>
      </c>
      <c r="D26" s="4" t="str">
        <f aca="false">IF(A26=0,0,VLOOKUP(A26,H$3:K$49,4,0))</f>
        <v>National Holiday</v>
      </c>
      <c r="E26" s="5" t="n">
        <f aca="false">IF(LARGE(E$3:E25,1)&lt;H$1,LARGE(E$3:E25,1)+1,0)</f>
        <v>24</v>
      </c>
      <c r="F26" s="15" t="n">
        <f aca="false">DATE(YEAR(F$1),7,24)</f>
        <v>42575</v>
      </c>
      <c r="G26" s="13" t="n">
        <f aca="false">0.000694444444444444*J26</f>
        <v>0</v>
      </c>
      <c r="H26" s="14" t="n">
        <f aca="false">F26+G26</f>
        <v>42575</v>
      </c>
      <c r="I26" s="16" t="s">
        <v>29</v>
      </c>
      <c r="J26" s="5" t="n">
        <f aca="false">COUNTIF(F$3:F25,F26)</f>
        <v>0</v>
      </c>
      <c r="K26" s="5"/>
    </row>
    <row r="27" customFormat="false" ht="14.15" hidden="false" customHeight="true" outlineLevel="0" collapsed="false">
      <c r="A27" s="9" t="n">
        <f aca="false">IF(E27=0,0,LARGE(H$3:H$49,(H$1)-E26))</f>
        <v>42547</v>
      </c>
      <c r="B27" s="10" t="n">
        <f aca="false">A27</f>
        <v>42547</v>
      </c>
      <c r="C27" s="11" t="str">
        <f aca="false">IF(A27=0,0,VLOOKUP(A27,H$3:I$49,2,0))</f>
        <v>Agion Panton (All Saints)</v>
      </c>
      <c r="D27" s="4" t="n">
        <f aca="false">IF(A27=0,0,VLOOKUP(A27,H$3:K$49,4,0))</f>
        <v>0</v>
      </c>
      <c r="E27" s="5" t="n">
        <f aca="false">IF(LARGE(E$3:E26,1)&lt;H$1,LARGE(E$3:E26,1)+1,0)</f>
        <v>25</v>
      </c>
      <c r="F27" s="15" t="n">
        <f aca="false">DATE(YEAR(F$1),8,6)</f>
        <v>42588</v>
      </c>
      <c r="G27" s="13" t="n">
        <f aca="false">0.000694444444444444*J27</f>
        <v>0</v>
      </c>
      <c r="H27" s="14" t="n">
        <f aca="false">F27+G27</f>
        <v>42588</v>
      </c>
      <c r="I27" s="16" t="s">
        <v>30</v>
      </c>
      <c r="J27" s="5" t="n">
        <f aca="false">COUNTIF(F$3:F26,F27)</f>
        <v>0</v>
      </c>
      <c r="K27" s="5"/>
    </row>
    <row r="28" customFormat="false" ht="14.15" hidden="false" customHeight="true" outlineLevel="0" collapsed="false">
      <c r="A28" s="9" t="n">
        <f aca="false">IF(E28=0,0,LARGE(H$3:H$49,(H$1)-E27))</f>
        <v>42562</v>
      </c>
      <c r="B28" s="10" t="n">
        <f aca="false">A28</f>
        <v>42562</v>
      </c>
      <c r="C28" s="11" t="str">
        <f aca="false">IF(A28=0,0,VLOOKUP(A28,H$3:I$49,2,0))</f>
        <v>Agia Efimia</v>
      </c>
      <c r="D28" s="4" t="n">
        <f aca="false">IF(A28=0,0,VLOOKUP(A28,H$3:K$49,4,0))</f>
        <v>0</v>
      </c>
      <c r="E28" s="5" t="n">
        <f aca="false">IF(LARGE(E$3:E27,1)&lt;H$1,LARGE(E$3:E27,1)+1,0)</f>
        <v>26</v>
      </c>
      <c r="F28" s="15" t="n">
        <f aca="false">DATE(YEAR(F$1),8,11)</f>
        <v>42593</v>
      </c>
      <c r="G28" s="13" t="n">
        <f aca="false">0.000694444444444444*J28</f>
        <v>0</v>
      </c>
      <c r="H28" s="14" t="n">
        <f aca="false">F28+G28</f>
        <v>42593</v>
      </c>
      <c r="I28" s="16" t="s">
        <v>31</v>
      </c>
      <c r="J28" s="5" t="n">
        <f aca="false">COUNTIF(F$3:F27,F28)</f>
        <v>0</v>
      </c>
      <c r="K28" s="5"/>
    </row>
    <row r="29" customFormat="false" ht="14.15" hidden="false" customHeight="true" outlineLevel="0" collapsed="false">
      <c r="A29" s="9" t="n">
        <f aca="false">IF(E29=0,0,LARGE(H$3:H$49,(H$1)-E28))</f>
        <v>42575</v>
      </c>
      <c r="B29" s="10" t="n">
        <f aca="false">A29</f>
        <v>42575</v>
      </c>
      <c r="C29" s="11" t="str">
        <f aca="false">IF(A29=0,0,VLOOKUP(A29,H$3:I$49,2,0))</f>
        <v>Restoration of Democracy 1974 / Eleios-Pronnoi bush fire 2007</v>
      </c>
      <c r="D29" s="4" t="n">
        <f aca="false">IF(A29=0,0,VLOOKUP(A29,H$3:K$49,4,0))</f>
        <v>0</v>
      </c>
      <c r="E29" s="5" t="n">
        <f aca="false">IF(LARGE(E$3:E28,1)&lt;H$1,LARGE(E$3:E28,1)+1,0)</f>
        <v>27</v>
      </c>
      <c r="F29" s="15" t="n">
        <f aca="false">DATE(YEAR(F$1),8,14)</f>
        <v>42596</v>
      </c>
      <c r="G29" s="13" t="n">
        <f aca="false">0.000694444444444444*J29</f>
        <v>0</v>
      </c>
      <c r="H29" s="14" t="n">
        <f aca="false">F29+G29</f>
        <v>42596</v>
      </c>
      <c r="I29" s="16" t="s">
        <v>32</v>
      </c>
      <c r="J29" s="5" t="n">
        <f aca="false">COUNTIF(F$3:F28,F29)</f>
        <v>0</v>
      </c>
      <c r="K29" s="5"/>
    </row>
    <row r="30" customFormat="false" ht="14.15" hidden="false" customHeight="true" outlineLevel="0" collapsed="false">
      <c r="A30" s="9" t="n">
        <f aca="false">IF(E30=0,0,LARGE(H$3:H$49,(H$1)-E29))</f>
        <v>42588</v>
      </c>
      <c r="B30" s="10" t="n">
        <f aca="false">A30</f>
        <v>42588</v>
      </c>
      <c r="C30" s="11" t="str">
        <f aca="false">IF(A30=0,0,VLOOKUP(A30,H$3:I$49,2,0))</f>
        <v>Metamorphosis of Christ</v>
      </c>
      <c r="D30" s="4" t="n">
        <f aca="false">IF(A30=0,0,VLOOKUP(A30,H$3:K$49,4,0))</f>
        <v>0</v>
      </c>
      <c r="E30" s="5" t="n">
        <f aca="false">IF(LARGE(E$3:E29,1)&lt;H$1,LARGE(E$3:E29,1)+1,0)</f>
        <v>28</v>
      </c>
      <c r="F30" s="15" t="n">
        <f aca="false">DATE(YEAR(F$1),8,15)</f>
        <v>42597</v>
      </c>
      <c r="G30" s="13" t="n">
        <f aca="false">0.000694444444444444*J30</f>
        <v>0</v>
      </c>
      <c r="H30" s="14" t="n">
        <f aca="false">F30+G30</f>
        <v>42597</v>
      </c>
      <c r="I30" s="16" t="s">
        <v>33</v>
      </c>
      <c r="J30" s="5" t="n">
        <f aca="false">COUNTIF(F$3:F29,F30)</f>
        <v>0</v>
      </c>
      <c r="K30" s="5" t="s">
        <v>7</v>
      </c>
    </row>
    <row r="31" customFormat="false" ht="14.15" hidden="false" customHeight="true" outlineLevel="0" collapsed="false">
      <c r="A31" s="9" t="n">
        <f aca="false">IF(E31=0,0,LARGE(H$3:H$49,(H$1)-E30))</f>
        <v>42593</v>
      </c>
      <c r="B31" s="10" t="n">
        <f aca="false">A31</f>
        <v>42593</v>
      </c>
      <c r="C31" s="11" t="str">
        <f aca="false">IF(A31=0,0,VLOOKUP(A31,H$3:I$49,2,0))</f>
        <v>Anniversary of 1953 earthquakes</v>
      </c>
      <c r="D31" s="4" t="n">
        <f aca="false">IF(A31=0,0,VLOOKUP(A31,H$3:K$49,4,0))</f>
        <v>0</v>
      </c>
      <c r="E31" s="5" t="n">
        <f aca="false">IF(LARGE(E$3:E30,1)&lt;H$1,LARGE(E$3:E30,1)+1,0)</f>
        <v>29</v>
      </c>
      <c r="F31" s="15" t="n">
        <f aca="false">DATE(YEAR(F$1),8,15)</f>
        <v>42597</v>
      </c>
      <c r="G31" s="13" t="n">
        <f aca="false">0.000694444444444444*J31</f>
        <v>0.000694444444444444</v>
      </c>
      <c r="H31" s="14" t="n">
        <f aca="false">F31+G31</f>
        <v>42597.0006944444</v>
      </c>
      <c r="I31" s="16" t="s">
        <v>34</v>
      </c>
      <c r="J31" s="5" t="n">
        <f aca="false">COUNTIF(F$3:F30,F31)</f>
        <v>1</v>
      </c>
      <c r="K31" s="5"/>
    </row>
    <row r="32" customFormat="false" ht="14.15" hidden="false" customHeight="true" outlineLevel="0" collapsed="false">
      <c r="A32" s="9" t="n">
        <f aca="false">IF(E32=0,0,LARGE(H$3:H$49,(H$1)-E31))</f>
        <v>42596</v>
      </c>
      <c r="B32" s="10" t="n">
        <f aca="false">A32</f>
        <v>42596</v>
      </c>
      <c r="C32" s="11" t="str">
        <f aca="false">IF(A32=0,0,VLOOKUP(A32,H$3:I$49,2,0))</f>
        <v>Fidakia tis Panagias (Snake festival, Markopoulo, p.m.)</v>
      </c>
      <c r="D32" s="4" t="n">
        <f aca="false">IF(A32=0,0,VLOOKUP(A32,H$3:K$49,4,0))</f>
        <v>0</v>
      </c>
      <c r="E32" s="5" t="n">
        <f aca="false">IF(LARGE(E$3:E31,1)&lt;H$1,LARGE(E$3:E31,1)+1,0)</f>
        <v>30</v>
      </c>
      <c r="F32" s="15" t="n">
        <f aca="false">DATE(YEAR(F$1),8,16)</f>
        <v>42598</v>
      </c>
      <c r="G32" s="13" t="n">
        <f aca="false">0.000694444444444444*J32</f>
        <v>0</v>
      </c>
      <c r="H32" s="14" t="n">
        <f aca="false">F32+G32</f>
        <v>42598</v>
      </c>
      <c r="I32" s="16" t="s">
        <v>35</v>
      </c>
      <c r="J32" s="5" t="n">
        <f aca="false">COUNTIF(F$3:F31,F32)</f>
        <v>0</v>
      </c>
      <c r="K32" s="5"/>
    </row>
    <row r="33" customFormat="false" ht="14.15" hidden="false" customHeight="true" outlineLevel="0" collapsed="false">
      <c r="A33" s="9" t="n">
        <f aca="false">IF(E33=0,0,LARGE(H$3:H$49,(H$1)-E32))</f>
        <v>42597</v>
      </c>
      <c r="B33" s="10" t="n">
        <f aca="false">A33</f>
        <v>42597</v>
      </c>
      <c r="C33" s="11" t="str">
        <f aca="false">IF(A33=0,0,VLOOKUP(A33,H$3:I$49,2,0))</f>
        <v>Kímisi tis Theotókou (Assumption) / Fidakia tis Panagias (a.m.)</v>
      </c>
      <c r="D33" s="4" t="str">
        <f aca="false">IF(A33=0,0,VLOOKUP(A33,H$3:K$49,4,0))</f>
        <v>National Holiday</v>
      </c>
      <c r="E33" s="5" t="n">
        <f aca="false">IF(LARGE(E$3:E32,1)&lt;H$1,LARGE(E$3:E32,1)+1,0)</f>
        <v>31</v>
      </c>
      <c r="F33" s="15" t="n">
        <f aca="false">DATE(YEAR(F$1),8,27)</f>
        <v>42609</v>
      </c>
      <c r="G33" s="13" t="n">
        <f aca="false">0.000694444444444444*J33</f>
        <v>0</v>
      </c>
      <c r="H33" s="14" t="n">
        <f aca="false">F33+G33</f>
        <v>42609</v>
      </c>
      <c r="I33" s="16" t="s">
        <v>36</v>
      </c>
      <c r="J33" s="5" t="n">
        <f aca="false">COUNTIF(F$3:F32,F33)</f>
        <v>0</v>
      </c>
      <c r="K33" s="5"/>
    </row>
    <row r="34" customFormat="false" ht="14.15" hidden="false" customHeight="true" outlineLevel="0" collapsed="false">
      <c r="A34" s="9" t="n">
        <f aca="false">IF(E34=0,0,LARGE(H$3:H$49,(H$1)-E33))</f>
        <v>42597.0006944444</v>
      </c>
      <c r="B34" s="10" t="n">
        <f aca="false">A34</f>
        <v>42597.0006944444</v>
      </c>
      <c r="C34" s="11" t="str">
        <f aca="false">IF(A34=0,0,VLOOKUP(A34,H$3:I$49,2,0))</f>
        <v>Agios Gerasimos (Omala, p.m.)</v>
      </c>
      <c r="D34" s="4" t="n">
        <f aca="false">IF(A34=0,0,VLOOKUP(A34,H$3:K$49,4,0))</f>
        <v>0</v>
      </c>
      <c r="E34" s="5" t="n">
        <f aca="false">IF(LARGE(E$3:E33,1)&lt;H$1,LARGE(E$3:E33,1)+1,0)</f>
        <v>32</v>
      </c>
      <c r="F34" s="15" t="n">
        <f aca="false">DATE(YEAR(F$1),9,8)</f>
        <v>42621</v>
      </c>
      <c r="G34" s="13" t="n">
        <f aca="false">0.000694444444444444*J34</f>
        <v>0</v>
      </c>
      <c r="H34" s="14" t="n">
        <f aca="false">F34+G34</f>
        <v>42621</v>
      </c>
      <c r="I34" s="16" t="s">
        <v>37</v>
      </c>
      <c r="J34" s="5" t="n">
        <f aca="false">COUNTIF(F$3:F33,F34)</f>
        <v>0</v>
      </c>
      <c r="K34" s="5"/>
    </row>
    <row r="35" customFormat="false" ht="14.15" hidden="false" customHeight="true" outlineLevel="0" collapsed="false">
      <c r="A35" s="9" t="n">
        <f aca="false">IF(E35=0,0,LARGE(H$3:H$49,(H$1)-E34))</f>
        <v>42598</v>
      </c>
      <c r="B35" s="10" t="n">
        <f aca="false">A35</f>
        <v>42598</v>
      </c>
      <c r="C35" s="11" t="str">
        <f aca="false">IF(A35=0,0,VLOOKUP(A35,H$3:I$49,2,0))</f>
        <v>Agios Gerasimos (Omala, a.m.)</v>
      </c>
      <c r="D35" s="4" t="n">
        <f aca="false">IF(A35=0,0,VLOOKUP(A35,H$3:K$49,4,0))</f>
        <v>0</v>
      </c>
      <c r="E35" s="5" t="n">
        <f aca="false">IF(LARGE(E$3:E34,1)&lt;H$1,LARGE(E$3:E34,1)+1,0)</f>
        <v>33</v>
      </c>
      <c r="F35" s="15" t="n">
        <f aca="false">DATE(YEAR(F$1),9,14)</f>
        <v>42627</v>
      </c>
      <c r="G35" s="13" t="n">
        <f aca="false">0.000694444444444444*J35</f>
        <v>0</v>
      </c>
      <c r="H35" s="14" t="n">
        <f aca="false">F35+G35</f>
        <v>42627</v>
      </c>
      <c r="I35" s="16" t="s">
        <v>38</v>
      </c>
      <c r="J35" s="5" t="n">
        <f aca="false">COUNTIF(F$3:F34,F35)</f>
        <v>0</v>
      </c>
      <c r="K35" s="5"/>
    </row>
    <row r="36" customFormat="false" ht="14.15" hidden="false" customHeight="true" outlineLevel="0" collapsed="false">
      <c r="A36" s="9" t="n">
        <f aca="false">IF(E36=0,0,LARGE(H$3:H$49,(H$1)-E35))</f>
        <v>42609</v>
      </c>
      <c r="B36" s="10" t="n">
        <f aca="false">A36</f>
        <v>42609</v>
      </c>
      <c r="C36" s="11" t="str">
        <f aca="false">IF(A36=0,0,VLOOKUP(A36,H$3:I$49,2,0))</f>
        <v>Colonel Stergios Kotoulas died fire-fighting, Katelios, 2009</v>
      </c>
      <c r="D36" s="4" t="n">
        <f aca="false">IF(A36=0,0,VLOOKUP(A36,H$3:K$49,4,0))</f>
        <v>0</v>
      </c>
      <c r="E36" s="5" t="n">
        <f aca="false">IF(LARGE(E$3:E35,1)&lt;H$1,LARGE(E$3:E35,1)+1,0)</f>
        <v>34</v>
      </c>
      <c r="F36" s="15" t="n">
        <f aca="false">DATE(YEAR(F$1),10,20)</f>
        <v>42663</v>
      </c>
      <c r="G36" s="13" t="n">
        <f aca="false">0.000694444444444444*J36</f>
        <v>0</v>
      </c>
      <c r="H36" s="14" t="n">
        <f aca="false">F36+G36</f>
        <v>42663</v>
      </c>
      <c r="I36" s="16" t="s">
        <v>39</v>
      </c>
      <c r="J36" s="5" t="n">
        <f aca="false">COUNTIF(F$3:F35,F36)</f>
        <v>0</v>
      </c>
      <c r="K36" s="5" t="s">
        <v>27</v>
      </c>
    </row>
    <row r="37" customFormat="false" ht="14.15" hidden="false" customHeight="true" outlineLevel="0" collapsed="false">
      <c r="A37" s="9" t="n">
        <f aca="false">IF(E37=0,0,LARGE(H$3:H$49,(H$1)-E36))</f>
        <v>42621</v>
      </c>
      <c r="B37" s="10" t="n">
        <f aca="false">A37</f>
        <v>42621</v>
      </c>
      <c r="C37" s="11" t="str">
        <f aca="false">IF(A37=0,0,VLOOKUP(A37,H$3:I$49,2,0))</f>
        <v>Gennesíou tis Theotókou (Holy Virgin's Birthday)</v>
      </c>
      <c r="D37" s="4" t="n">
        <f aca="false">IF(A37=0,0,VLOOKUP(A37,H$3:K$49,4,0))</f>
        <v>0</v>
      </c>
      <c r="E37" s="5" t="n">
        <f aca="false">IF(LARGE(E$3:E36,1)&lt;H$1,LARGE(E$3:E36,1)+1,0)</f>
        <v>35</v>
      </c>
      <c r="F37" s="15" t="n">
        <f aca="false">DATE(YEAR(F$1),10,28)</f>
        <v>42671</v>
      </c>
      <c r="G37" s="13" t="n">
        <f aca="false">0.000694444444444444*J37</f>
        <v>0</v>
      </c>
      <c r="H37" s="14" t="n">
        <f aca="false">F37+G37</f>
        <v>42671</v>
      </c>
      <c r="I37" s="16" t="s">
        <v>40</v>
      </c>
      <c r="J37" s="5" t="n">
        <f aca="false">COUNTIF(F$3:F36,F37)</f>
        <v>0</v>
      </c>
      <c r="K37" s="5" t="s">
        <v>7</v>
      </c>
    </row>
    <row r="38" customFormat="false" ht="14.15" hidden="false" customHeight="true" outlineLevel="0" collapsed="false">
      <c r="A38" s="9" t="n">
        <f aca="false">IF(E38=0,0,LARGE(H$3:H$49,(H$1)-E37))</f>
        <v>42627</v>
      </c>
      <c r="B38" s="10" t="n">
        <f aca="false">A38</f>
        <v>42627</v>
      </c>
      <c r="C38" s="11" t="str">
        <f aca="false">IF(A38=0,0,VLOOKUP(A38,H$3:I$49,2,0))</f>
        <v>Ypsóseos tou Timíou Stavroú (Exaltation of the Holy Cross)</v>
      </c>
      <c r="D38" s="4" t="n">
        <f aca="false">IF(A38=0,0,VLOOKUP(A38,H$3:K$49,4,0))</f>
        <v>0</v>
      </c>
      <c r="E38" s="5" t="n">
        <f aca="false">IF(LARGE(E$3:E37,1)&lt;H$1,LARGE(E$3:E37,1)+1,0)</f>
        <v>36</v>
      </c>
      <c r="F38" s="15" t="n">
        <f aca="false">DATE(YEAR(F$1),11,17)</f>
        <v>42691</v>
      </c>
      <c r="G38" s="13" t="n">
        <f aca="false">0.000694444444444444*J38</f>
        <v>0</v>
      </c>
      <c r="H38" s="14" t="n">
        <f aca="false">F38+G38</f>
        <v>42691</v>
      </c>
      <c r="I38" s="16" t="s">
        <v>41</v>
      </c>
      <c r="J38" s="5" t="n">
        <f aca="false">COUNTIF(F$3:F37,F38)</f>
        <v>0</v>
      </c>
      <c r="K38" s="5"/>
    </row>
    <row r="39" customFormat="false" ht="14.15" hidden="false" customHeight="true" outlineLevel="0" collapsed="false">
      <c r="A39" s="9" t="n">
        <f aca="false">IF(E39=0,0,LARGE(H$3:H$49,(H$1)-E38))</f>
        <v>42628</v>
      </c>
      <c r="B39" s="10" t="n">
        <f aca="false">A39</f>
        <v>42628</v>
      </c>
      <c r="C39" s="11" t="str">
        <f aca="false">IF(A39=0,0,VLOOKUP(A39,H$3:I$49,2,0))</f>
        <v>Massacre of Acqui Division by Nazi occupiers commenced, 1943 **</v>
      </c>
      <c r="D39" s="4" t="n">
        <f aca="false">IF(A39=0,0,VLOOKUP(A39,H$3:K$49,4,0))</f>
        <v>0</v>
      </c>
      <c r="E39" s="5" t="n">
        <f aca="false">IF(LARGE(E$3:E38,1)&lt;H$1,LARGE(E$3:E38,1)+1,0)</f>
        <v>37</v>
      </c>
      <c r="F39" s="15" t="n">
        <f aca="false">DATE(YEAR(F$1),12,25)</f>
        <v>42729</v>
      </c>
      <c r="G39" s="13" t="n">
        <f aca="false">0.000694444444444444*J39</f>
        <v>0</v>
      </c>
      <c r="H39" s="14" t="n">
        <f aca="false">F39+G39</f>
        <v>42729</v>
      </c>
      <c r="I39" s="16" t="s">
        <v>42</v>
      </c>
      <c r="J39" s="5" t="n">
        <f aca="false">COUNTIF(F$3:F38,F39)</f>
        <v>0</v>
      </c>
      <c r="K39" s="5" t="s">
        <v>7</v>
      </c>
    </row>
    <row r="40" customFormat="false" ht="14.15" hidden="false" customHeight="true" outlineLevel="0" collapsed="false">
      <c r="A40" s="9" t="n">
        <f aca="false">IF(E40=0,0,LARGE(H$3:H$49,(H$1)-E39))</f>
        <v>42663</v>
      </c>
      <c r="B40" s="10" t="n">
        <f aca="false">A40</f>
        <v>42663</v>
      </c>
      <c r="C40" s="11" t="str">
        <f aca="false">IF(A40=0,0,VLOOKUP(A40,H$3:I$49,2,0))</f>
        <v>Restitution of Ag. Gerasimos' Sacred Relic</v>
      </c>
      <c r="D40" s="4" t="str">
        <f aca="false">IF(A40=0,0,VLOOKUP(A40,H$3:K$49,4,0))</f>
        <v>Kef celebration</v>
      </c>
      <c r="E40" s="5" t="n">
        <f aca="false">IF(LARGE(E$3:E39,1)&lt;H$1,LARGE(E$3:E39,1)+1,0)</f>
        <v>38</v>
      </c>
      <c r="F40" s="15" t="n">
        <f aca="false">DATE(YEAR(F$1),12,26)</f>
        <v>42730</v>
      </c>
      <c r="G40" s="13" t="n">
        <f aca="false">0.000694444444444444*J40</f>
        <v>0</v>
      </c>
      <c r="H40" s="14" t="n">
        <f aca="false">F40+G40</f>
        <v>42730</v>
      </c>
      <c r="I40" s="16" t="s">
        <v>43</v>
      </c>
      <c r="J40" s="5" t="n">
        <f aca="false">COUNTIF(F$3:F39,F40)</f>
        <v>0</v>
      </c>
      <c r="K40" s="5" t="s">
        <v>7</v>
      </c>
    </row>
    <row r="41" customFormat="false" ht="14.15" hidden="false" customHeight="true" outlineLevel="0" collapsed="false">
      <c r="A41" s="9" t="n">
        <f aca="false">IF(E41=0,0,LARGE(H$3:H$49,(H$1)-E40))</f>
        <v>42671</v>
      </c>
      <c r="B41" s="10" t="n">
        <f aca="false">A41</f>
        <v>42671</v>
      </c>
      <c r="C41" s="11" t="str">
        <f aca="false">IF(A41=0,0,VLOOKUP(A41,H$3:I$49,2,0))</f>
        <v>Iméra tou Okhi (OXI Day)</v>
      </c>
      <c r="D41" s="4" t="str">
        <f aca="false">IF(A41=0,0,VLOOKUP(A41,H$3:K$49,4,0))</f>
        <v>National Holiday</v>
      </c>
      <c r="E41" s="5" t="n">
        <f aca="false">IF(LARGE(E$3:E40,1)&lt;H$1,LARGE(E$3:E40,1)+1,0)</f>
        <v>39</v>
      </c>
      <c r="F41" s="15" t="n">
        <f aca="false">DATE(YEAR(F$1),12,31)</f>
        <v>42735</v>
      </c>
      <c r="G41" s="13" t="n">
        <f aca="false">0.000694444444444444*J41</f>
        <v>0</v>
      </c>
      <c r="H41" s="14" t="n">
        <f aca="false">F41+G41</f>
        <v>42735</v>
      </c>
      <c r="I41" s="16" t="s">
        <v>44</v>
      </c>
      <c r="J41" s="5" t="n">
        <f aca="false">COUNTIF(F$3:F40,F41)</f>
        <v>0</v>
      </c>
      <c r="K41" s="5"/>
    </row>
    <row r="42" customFormat="false" ht="14.15" hidden="false" customHeight="true" outlineLevel="0" collapsed="false">
      <c r="A42" s="9" t="n">
        <f aca="false">IF(E42=0,0,LARGE(H$3:H$49,(H$1)-E41))</f>
        <v>42673</v>
      </c>
      <c r="B42" s="10" t="n">
        <f aca="false">A42</f>
        <v>42673</v>
      </c>
      <c r="C42" s="11" t="str">
        <f aca="false">IF(A42=0,0,VLOOKUP(A42,H$3:I$49,2,0))</f>
        <v>European Daylight Saving Time ends (clocks fall back 1 hour)</v>
      </c>
      <c r="D42" s="4" t="n">
        <f aca="false">IF(A42=0,0,VLOOKUP(A42,H$3:K$49,4,0))</f>
        <v>0</v>
      </c>
      <c r="E42" s="5" t="n">
        <f aca="false">IF(LARGE(E$3:E41,1)&lt;H$1,LARGE(E$3:E41,1)+1,0)</f>
        <v>40</v>
      </c>
      <c r="F42" s="15" t="n">
        <f aca="false">DATE(YEAR(F$1),9,15)</f>
        <v>42628</v>
      </c>
      <c r="G42" s="13" t="n">
        <f aca="false">0.000694444444444444*J42</f>
        <v>0</v>
      </c>
      <c r="H42" s="14" t="n">
        <f aca="false">F42+G42</f>
        <v>42628</v>
      </c>
      <c r="I42" s="5" t="s">
        <v>45</v>
      </c>
      <c r="J42" s="5" t="n">
        <f aca="false">COUNTIF(F$3:F41,F42)</f>
        <v>0</v>
      </c>
      <c r="K42" s="5"/>
    </row>
    <row r="43" customFormat="false" ht="14.15" hidden="false" customHeight="true" outlineLevel="0" collapsed="false">
      <c r="A43" s="9" t="n">
        <f aca="false">IF(E43=0,0,LARGE(H$3:H$49,(H$1)-E42))</f>
        <v>42691</v>
      </c>
      <c r="B43" s="10" t="n">
        <f aca="false">A43</f>
        <v>42691</v>
      </c>
      <c r="C43" s="11" t="str">
        <f aca="false">IF(A43=0,0,VLOOKUP(A43,H$3:I$49,2,0))</f>
        <v>Polytechneio</v>
      </c>
      <c r="D43" s="4" t="n">
        <f aca="false">IF(A43=0,0,VLOOKUP(A43,H$3:K$49,4,0))</f>
        <v>0</v>
      </c>
      <c r="E43" s="5" t="n">
        <f aca="false">IF(LARGE(E$3:E42,1)&lt;H$1,LARGE(E$3:E42,1)+1,0)</f>
        <v>41</v>
      </c>
      <c r="F43" s="5"/>
      <c r="G43" s="13" t="n">
        <f aca="false">0.000694444444444444*J43</f>
        <v>0</v>
      </c>
      <c r="H43" s="5"/>
      <c r="I43" s="5"/>
      <c r="J43" s="5" t="n">
        <f aca="false">COUNTIF(F$3:F42,F43)</f>
        <v>0</v>
      </c>
      <c r="K43" s="5"/>
    </row>
    <row r="44" customFormat="false" ht="14.15" hidden="false" customHeight="true" outlineLevel="0" collapsed="false">
      <c r="A44" s="9" t="n">
        <f aca="false">IF(E44=0,0,LARGE(H$3:H$49,(H$1)-E43))</f>
        <v>42729</v>
      </c>
      <c r="B44" s="10" t="n">
        <f aca="false">A44</f>
        <v>42729</v>
      </c>
      <c r="C44" s="11" t="str">
        <f aca="false">IF(A44=0,0,VLOOKUP(A44,H$3:I$49,2,0))</f>
        <v>Kristoúyenna (Christmas Day)</v>
      </c>
      <c r="D44" s="4" t="str">
        <f aca="false">IF(A44=0,0,VLOOKUP(A44,H$3:K$49,4,0))</f>
        <v>National Holiday</v>
      </c>
      <c r="E44" s="5" t="n">
        <f aca="false">IF(LARGE(E$3:E43,1)&lt;H$1,LARGE(E$3:E43,1)+1,0)</f>
        <v>42</v>
      </c>
      <c r="F44" s="5"/>
      <c r="G44" s="13" t="n">
        <f aca="false">0.000694444444444444*J44</f>
        <v>0</v>
      </c>
      <c r="H44" s="5"/>
      <c r="I44" s="5"/>
      <c r="J44" s="5" t="n">
        <f aca="false">COUNTIF(F$3:F43,F44)</f>
        <v>0</v>
      </c>
      <c r="K44" s="5"/>
    </row>
    <row r="45" customFormat="false" ht="14.15" hidden="false" customHeight="true" outlineLevel="0" collapsed="false">
      <c r="A45" s="9" t="n">
        <f aca="false">IF(E45=0,0,LARGE(H$3:H$49,(H$1)-E44))</f>
        <v>42730</v>
      </c>
      <c r="B45" s="10" t="n">
        <f aca="false">A45</f>
        <v>42730</v>
      </c>
      <c r="C45" s="11" t="str">
        <f aca="false">IF(A45=0,0,VLOOKUP(A45,H$3:I$49,2,0))</f>
        <v>Sínaxis Yperagías Theotókou Marías / Agios Stefanos / Boxing Day</v>
      </c>
      <c r="D45" s="4" t="str">
        <f aca="false">IF(A45=0,0,VLOOKUP(A45,H$3:K$49,4,0))</f>
        <v>National Holiday</v>
      </c>
      <c r="E45" s="5" t="n">
        <f aca="false">IF(LARGE(E$3:E44,1)&lt;H$1,LARGE(E$3:E44,1)+1,0)</f>
        <v>43</v>
      </c>
      <c r="F45" s="5"/>
      <c r="G45" s="13" t="n">
        <f aca="false">0.000694444444444444*J45</f>
        <v>0</v>
      </c>
      <c r="H45" s="5"/>
      <c r="I45" s="5"/>
      <c r="J45" s="5" t="n">
        <f aca="false">COUNTIF(F$3:F44,F45)</f>
        <v>0</v>
      </c>
      <c r="K45" s="5"/>
    </row>
    <row r="46" customFormat="false" ht="14.15" hidden="false" customHeight="true" outlineLevel="0" collapsed="false">
      <c r="A46" s="17" t="n">
        <f aca="false">IF(E46=0,0,LARGE(H$3:H$49,(H$1)-E45))</f>
        <v>42735</v>
      </c>
      <c r="B46" s="10" t="n">
        <f aca="false">A46</f>
        <v>42735</v>
      </c>
      <c r="C46" s="11" t="str">
        <f aca="false">IF(A46=0,0,VLOOKUP(A46,H$3:I$49,2,0))</f>
        <v>Paramoní Protochroniás (New Year's Eve)</v>
      </c>
      <c r="D46" s="4" t="n">
        <f aca="false">IF(A46=0,0,VLOOKUP(A46,H$3:K$49,4,0))</f>
        <v>0</v>
      </c>
      <c r="E46" s="5" t="n">
        <f aca="false">IF(LARGE(E$3:E45,1)&lt;H$1,LARGE(E$3:E45,1)+1,0)</f>
        <v>44</v>
      </c>
      <c r="F46" s="15" t="n">
        <f aca="false">ROUND(DATE(YEAR(F40),4,1)/7+MOD(19*MOD(YEAR(F40),19)-7,30)*0.14,0)*7-8</f>
        <v>42454</v>
      </c>
      <c r="G46" s="13" t="n">
        <f aca="false">0.000694444444444444*J46</f>
        <v>0.000694444444444444</v>
      </c>
      <c r="H46" s="14" t="n">
        <f aca="false">F46+G46</f>
        <v>42454.0006944445</v>
      </c>
      <c r="I46" s="5" t="s">
        <v>46</v>
      </c>
      <c r="J46" s="5" t="n">
        <f aca="false">COUNTIF(F$3:F45,F46)</f>
        <v>1</v>
      </c>
      <c r="K46" s="5"/>
    </row>
    <row r="47" customFormat="false" ht="14.15" hidden="false" customHeight="true" outlineLevel="0" collapsed="false">
      <c r="A47" s="17" t="n">
        <f aca="false">IF(E47=0,0,LARGE(H$3:H$49,(H$1)-E46))</f>
        <v>0</v>
      </c>
      <c r="B47" s="18" t="n">
        <f aca="false">A47</f>
        <v>0</v>
      </c>
      <c r="C47" s="19" t="n">
        <f aca="false">IF(A47=0,0,VLOOKUP(A47,H$3:I$49,2,0))</f>
        <v>0</v>
      </c>
      <c r="D47" s="20" t="n">
        <f aca="false">IF(A47=0,0,VLOOKUP(A47,H$3:K$49,4,0))</f>
        <v>0</v>
      </c>
      <c r="E47" s="5" t="n">
        <f aca="false">IF(LARGE(E$3:E46,1)&lt;H$1,LARGE(E$3:E46,1)+1,0)</f>
        <v>0</v>
      </c>
      <c r="F47" s="15" t="n">
        <f aca="false">ROUND(DATE(YEAR(F40),4,1)/7+MOD(19*MOD(YEAR(F40),19)-7,30)*0.14,0)*7-6</f>
        <v>42456</v>
      </c>
      <c r="G47" s="13" t="n">
        <f aca="false">0.000694444444444444*J47</f>
        <v>0.000694444444444444</v>
      </c>
      <c r="H47" s="14" t="n">
        <f aca="false">F47+G47</f>
        <v>42456.0006944444</v>
      </c>
      <c r="I47" s="5" t="s">
        <v>47</v>
      </c>
      <c r="J47" s="5" t="n">
        <f aca="false">COUNTIF(F$3:F46,F47)</f>
        <v>1</v>
      </c>
      <c r="K47" s="5"/>
    </row>
    <row r="48" customFormat="false" ht="14.15" hidden="false" customHeight="true" outlineLevel="0" collapsed="false">
      <c r="A48" s="17" t="n">
        <f aca="false">IF(E48=0,0,LARGE(H$3:H$49,(H$1)-E47))</f>
        <v>0</v>
      </c>
      <c r="B48" s="18" t="n">
        <f aca="false">A48</f>
        <v>0</v>
      </c>
      <c r="C48" s="19" t="n">
        <f aca="false">IF(A48=0,0,VLOOKUP(A48,H$3:I$49,2,0))</f>
        <v>0</v>
      </c>
      <c r="D48" s="20" t="n">
        <f aca="false">IF(A48=0,0,VLOOKUP(A48,H$3:K$49,4,0))</f>
        <v>0</v>
      </c>
      <c r="E48" s="5" t="n">
        <f aca="false">IF(LARGE(E$3:E47,1)&lt;H$1,LARGE(E$3:E47,1)+1,0)</f>
        <v>0</v>
      </c>
      <c r="F48" s="15" t="n">
        <f aca="false">ROUND(DATE(YEAR(F41),4,1)/7+MOD(19*MOD(YEAR(F41),19)-7,30)*0.14,0)*7-5</f>
        <v>42457</v>
      </c>
      <c r="G48" s="13" t="n">
        <f aca="false">0.000694444444444444*J48</f>
        <v>0</v>
      </c>
      <c r="H48" s="14" t="n">
        <f aca="false">F48+G48</f>
        <v>42457</v>
      </c>
      <c r="I48" s="5" t="s">
        <v>48</v>
      </c>
      <c r="J48" s="5" t="n">
        <f aca="false">COUNTIF(F$3:F47,F48)</f>
        <v>0</v>
      </c>
      <c r="K48" s="5"/>
    </row>
    <row r="49" customFormat="false" ht="14.15" hidden="false" customHeight="true" outlineLevel="0" collapsed="false">
      <c r="A49" s="17" t="n">
        <f aca="false">IF(E49=0,0,LARGE(H$3:H$49,(H$1)-E48))</f>
        <v>0</v>
      </c>
      <c r="B49" s="18" t="n">
        <f aca="false">A49</f>
        <v>0</v>
      </c>
      <c r="C49" s="19" t="n">
        <f aca="false">IF(A49=0,0,VLOOKUP(A49,H$3:I$49,2,0))</f>
        <v>0</v>
      </c>
      <c r="D49" s="20" t="n">
        <f aca="false">IF(A49=0,0,VLOOKUP(A49,H$3:K$49,4,0))</f>
        <v>0</v>
      </c>
      <c r="E49" s="5" t="n">
        <f aca="false">IF(LARGE(E$3:E48,1)&lt;H$1,LARGE(E$3:E48,1)+1,0)</f>
        <v>0</v>
      </c>
      <c r="F49" s="15" t="n">
        <f aca="false">IF(MOD(YEAR(F50),4)=0,DATE(YEAR(F50),2,29),0)</f>
        <v>42429</v>
      </c>
      <c r="G49" s="13" t="n">
        <f aca="false">0.000694444444444444*J49</f>
        <v>0</v>
      </c>
      <c r="H49" s="14" t="n">
        <f aca="false">F49+G49</f>
        <v>42429</v>
      </c>
      <c r="I49" s="21" t="str">
        <f aca="false">IF(F49&gt;0,"Leap Day",0)</f>
        <v>Leap Day</v>
      </c>
      <c r="J49" s="5" t="n">
        <f aca="false">COUNTIF(F$3:F48,F49)</f>
        <v>0</v>
      </c>
      <c r="K49" s="5"/>
    </row>
    <row r="50" customFormat="false" ht="14.15" hidden="false" customHeight="true" outlineLevel="0" collapsed="false">
      <c r="A50" s="9" t="s">
        <v>49</v>
      </c>
      <c r="B50" s="22" t="n">
        <v>1</v>
      </c>
      <c r="C50" s="23" t="s">
        <v>50</v>
      </c>
      <c r="D50" s="4"/>
      <c r="E50" s="5"/>
      <c r="F50" s="6" t="n">
        <f aca="false">TEXT(F1,"####")*1</f>
        <v>42370</v>
      </c>
      <c r="G50" s="5"/>
      <c r="H50" s="24" t="n">
        <f aca="false">MOD(YEAR(F50),4)</f>
        <v>0</v>
      </c>
      <c r="I50" s="21"/>
      <c r="J50" s="5"/>
      <c r="K50" s="5"/>
    </row>
    <row r="51" customFormat="false" ht="14.15" hidden="false" customHeight="true" outlineLevel="0" collapsed="false">
      <c r="A51" s="9"/>
      <c r="B51" s="22" t="n">
        <v>2</v>
      </c>
      <c r="C51" s="23" t="s">
        <v>51</v>
      </c>
      <c r="D51" s="4"/>
      <c r="E51" s="5"/>
      <c r="F51" s="6"/>
      <c r="G51" s="5"/>
      <c r="H51" s="5"/>
      <c r="I51" s="21"/>
      <c r="J51" s="5"/>
      <c r="K51" s="5"/>
    </row>
    <row r="52" customFormat="false" ht="14.15" hidden="false" customHeight="true" outlineLevel="0" collapsed="false">
      <c r="A52" s="25" t="str">
        <f aca="false">HYPERLINK("http://www.goinggreek.info","www.goinggreek.info")</f>
        <v>www.goinggreek.info</v>
      </c>
      <c r="B52" s="25"/>
      <c r="C52" s="25"/>
      <c r="D52" s="25"/>
      <c r="E52" s="5"/>
      <c r="F52" s="26" t="n">
        <f aca="false">MOD(YEAR(F1),19)</f>
        <v>2</v>
      </c>
      <c r="G52" s="26"/>
      <c r="H52" s="26"/>
      <c r="I52" s="21"/>
      <c r="J52" s="5"/>
      <c r="K52" s="5"/>
    </row>
    <row r="53" customFormat="false" ht="14.15" hidden="false" customHeight="true" outlineLevel="0" collapsed="false">
      <c r="E53" s="5"/>
      <c r="F53" s="26" t="n">
        <f aca="false">MOD((19*F52)+15,30)</f>
        <v>23</v>
      </c>
      <c r="G53" s="26"/>
      <c r="H53" s="26"/>
      <c r="I53" s="21"/>
      <c r="J53" s="5"/>
      <c r="K53" s="5"/>
    </row>
    <row r="54" customFormat="false" ht="14.15" hidden="false" customHeight="true" outlineLevel="0" collapsed="false">
      <c r="A54" s="26" t="n">
        <f aca="false">MOD(YEAR(A3),19)</f>
        <v>2</v>
      </c>
      <c r="B54" s="26"/>
      <c r="E54" s="5"/>
      <c r="F54" s="26" t="n">
        <f aca="false">MOD(YEAR(F1)+INT(YEAR(F1)/4)+F53,7)</f>
        <v>2</v>
      </c>
      <c r="G54" s="26"/>
      <c r="H54" s="26"/>
      <c r="I54" s="21"/>
      <c r="J54" s="5"/>
      <c r="K54" s="5"/>
    </row>
    <row r="55" customFormat="false" ht="14.15" hidden="false" customHeight="true" outlineLevel="0" collapsed="false">
      <c r="A55" s="26" t="n">
        <f aca="false">MOD((19*A54)+15,30)</f>
        <v>23</v>
      </c>
      <c r="B55" s="26"/>
      <c r="E55" s="5"/>
      <c r="F55" s="26" t="n">
        <f aca="false">F53-F54</f>
        <v>21</v>
      </c>
      <c r="G55" s="26"/>
      <c r="H55" s="26"/>
      <c r="I55" s="21"/>
      <c r="J55" s="5"/>
      <c r="K55" s="5"/>
    </row>
    <row r="56" customFormat="false" ht="14.15" hidden="false" customHeight="true" outlineLevel="0" collapsed="false">
      <c r="A56" s="26" t="n">
        <f aca="false">MOD(YEAR(A3)+INT(YEAR(A3)/4)+A55,7)</f>
        <v>2</v>
      </c>
      <c r="B56" s="26"/>
      <c r="E56" s="5"/>
      <c r="F56" s="26" t="n">
        <f aca="false">3+INT((F55+40)/44)</f>
        <v>4</v>
      </c>
      <c r="G56" s="26"/>
      <c r="H56" s="26"/>
      <c r="I56" s="21"/>
      <c r="J56" s="5"/>
      <c r="K56" s="5"/>
    </row>
    <row r="57" customFormat="false" ht="14.15" hidden="false" customHeight="true" outlineLevel="0" collapsed="false">
      <c r="A57" s="26" t="n">
        <f aca="false">A55-A56</f>
        <v>21</v>
      </c>
      <c r="B57" s="26"/>
      <c r="E57" s="5"/>
      <c r="F57" s="26" t="n">
        <f aca="false">(F55+28)-31*INT(F56/4)</f>
        <v>18</v>
      </c>
      <c r="G57" s="26"/>
      <c r="H57" s="26"/>
      <c r="I57" s="21"/>
      <c r="J57" s="5"/>
      <c r="K57" s="5"/>
    </row>
    <row r="58" customFormat="false" ht="12.8" hidden="false" customHeight="true" outlineLevel="0" collapsed="false">
      <c r="A58" s="26" t="n">
        <f aca="false">3+INT((A57+40)/44)</f>
        <v>4</v>
      </c>
      <c r="B58" s="26"/>
      <c r="E58" s="5"/>
      <c r="F58" s="27" t="n">
        <f aca="false">(F57&amp;"/"&amp;F56&amp;"/"&amp;YEAR(F1))*1</f>
        <v>42478</v>
      </c>
      <c r="G58" s="27"/>
      <c r="H58" s="27"/>
      <c r="I58" s="5"/>
      <c r="J58" s="5"/>
      <c r="K58" s="5"/>
    </row>
    <row r="59" customFormat="false" ht="12.8" hidden="false" customHeight="true" outlineLevel="0" collapsed="false">
      <c r="A59" s="26" t="n">
        <f aca="false">(A57+28)-31*INT(A58/4)</f>
        <v>18</v>
      </c>
      <c r="B59" s="26"/>
      <c r="E59" s="5"/>
      <c r="F59" s="28" t="n">
        <v>13</v>
      </c>
      <c r="G59" s="28"/>
      <c r="H59" s="28"/>
      <c r="I59" s="5"/>
      <c r="J59" s="5"/>
      <c r="K59" s="5"/>
    </row>
    <row r="60" customFormat="false" ht="12.8" hidden="false" customHeight="true" outlineLevel="0" collapsed="false">
      <c r="A60" s="27" t="n">
        <f aca="false">(A59&amp;"/"&amp;A58&amp;"/"&amp;YEAR(A3))*1</f>
        <v>42478</v>
      </c>
      <c r="B60" s="27"/>
      <c r="E60" s="5"/>
      <c r="F60" s="29" t="n">
        <f aca="false">F58+F59</f>
        <v>42491</v>
      </c>
      <c r="G60" s="29"/>
      <c r="H60" s="29"/>
      <c r="I60" s="5"/>
      <c r="J60" s="5"/>
      <c r="K60" s="5"/>
    </row>
    <row r="61" customFormat="false" ht="12.8" hidden="false" customHeight="true" outlineLevel="0" collapsed="false">
      <c r="A61" s="28" t="n">
        <v>13</v>
      </c>
      <c r="B61" s="28"/>
      <c r="E61" s="5"/>
      <c r="F61" s="5"/>
      <c r="G61" s="5"/>
      <c r="H61" s="5"/>
      <c r="I61" s="5"/>
      <c r="J61" s="5"/>
      <c r="K61" s="5"/>
    </row>
    <row r="62" customFormat="false" ht="12.8" hidden="false" customHeight="true" outlineLevel="0" collapsed="false">
      <c r="A62" s="29" t="n">
        <f aca="false">A60+A61</f>
        <v>42491</v>
      </c>
      <c r="B62" s="29"/>
      <c r="E62" s="5"/>
      <c r="F62" s="30" t="n">
        <f aca="false">MONTH(DATE(YEAR(F1),2,29))=2</f>
        <v>1</v>
      </c>
      <c r="G62" s="30"/>
      <c r="H62" s="30"/>
      <c r="I62" s="5"/>
      <c r="J62" s="5"/>
      <c r="K62" s="5"/>
    </row>
    <row r="63" customFormat="false" ht="12.8" hidden="false" customHeight="true" outlineLevel="0" collapsed="false">
      <c r="A63" s="5"/>
      <c r="B63" s="5"/>
      <c r="E63" s="5"/>
      <c r="F63" s="7" t="n">
        <f aca="false">TRUE()</f>
        <v>1</v>
      </c>
      <c r="G63" s="7"/>
      <c r="H63" s="7"/>
      <c r="I63" s="5"/>
      <c r="J63" s="5"/>
      <c r="K63" s="5"/>
    </row>
    <row r="64" customFormat="false" ht="12.8" hidden="false" customHeight="true" outlineLevel="0" collapsed="false">
      <c r="A64" s="31" t="n">
        <f aca="false">MONTH(DATE(YEAR(A3),2,29))=2</f>
        <v>1</v>
      </c>
      <c r="B64" s="31"/>
      <c r="E64" s="5"/>
      <c r="F64" s="15" t="n">
        <f aca="false">IF(F62=F63,DATE(YEAR(F1),1,1),0)</f>
        <v>42370</v>
      </c>
      <c r="G64" s="15"/>
      <c r="H64" s="15"/>
      <c r="I64" s="5"/>
      <c r="J64" s="5"/>
      <c r="K64" s="5"/>
    </row>
    <row r="65" customFormat="false" ht="12.8" hidden="false" customHeight="true" outlineLevel="0" collapsed="false">
      <c r="A65" s="7" t="n">
        <f aca="false">TRUE()</f>
        <v>1</v>
      </c>
      <c r="B65" s="7"/>
      <c r="E65" s="4"/>
      <c r="F65" s="9"/>
      <c r="G65" s="32"/>
      <c r="H65" s="32"/>
      <c r="I65" s="4"/>
      <c r="J65" s="4"/>
      <c r="K65" s="4"/>
    </row>
  </sheetData>
  <sheetProtection sheet="true" password="eb44" objects="true" scenarios="true" selectLockedCells="true"/>
  <mergeCells count="1">
    <mergeCell ref="A52:D52"/>
  </mergeCells>
  <printOptions headings="false" gridLines="false" gridLinesSet="true" horizontalCentered="true" verticalCentered="false"/>
  <pageMargins left="0.492361111111111" right="0.492361111111111" top="0.7875" bottom="0.590277777777778" header="0.511805555555555" footer="0.511805555555555"/>
  <pageSetup paperSize="9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368</TotalTime>
  <Application>LibreOffice/5.0.3.2$Linux_x86 LibreOffice_project/00m0$Build-2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2016-01-10T20:31:11Z</dcterms:created>
  <dc:creator>Maik </dc:creator>
  <dc:language>en-GB</dc:language>
  <cp:lastModifiedBy>Maik </cp:lastModifiedBy>
  <dcterms:modified xsi:type="dcterms:W3CDTF">2016-01-11T16:39:40Z</dcterms:modified>
  <cp:revision>40</cp:revision>
</cp:coreProperties>
</file>